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showInkAnnotation="0" codeName="ThisWorkbook" defaultThemeVersion="124226"/>
  <mc:AlternateContent xmlns:mc="http://schemas.openxmlformats.org/markup-compatibility/2006">
    <mc:Choice Requires="x15">
      <x15ac:absPath xmlns:x15ac="http://schemas.microsoft.com/office/spreadsheetml/2010/11/ac" url="Z:\2. ACTIVE PROJECTS\VINTAGE - Chula Vista\CDLAC-CTCAC Folder\2023 CDLAC-CTCAC E-App ROUND 3\"/>
    </mc:Choice>
  </mc:AlternateContent>
  <xr:revisionPtr revIDLastSave="0" documentId="13_ncr:1_{5C5F52B2-FDE2-4204-A131-FA97002BD9E2}" xr6:coauthVersionLast="47" xr6:coauthVersionMax="47" xr10:uidLastSave="{00000000-0000-0000-0000-000000000000}"/>
  <bookViews>
    <workbookView xWindow="-108" yWindow="-108" windowWidth="23256" windowHeight="12576" tabRatio="905" firstSheet="2"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21" i="7" l="1"/>
  <c r="U21" i="7" s="1"/>
  <c r="W21" i="7" s="1"/>
  <c r="Y21" i="7" s="1"/>
  <c r="AA21" i="7" s="1"/>
  <c r="AC21" i="7" s="1"/>
  <c r="AE21" i="7" s="1"/>
  <c r="AG21" i="7" s="1"/>
  <c r="C57" i="4" l="1"/>
  <c r="T22" i="15"/>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9" i="7"/>
  <c r="E28" i="7"/>
  <c r="AE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DX600" i="3" s="1"/>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EC601" i="3" s="1"/>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EM602" i="3" s="1"/>
  <c r="CC603" i="3"/>
  <c r="EM603" i="3" s="1"/>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ER597" i="3" s="1"/>
  <c r="CH598" i="3"/>
  <c r="CH599" i="3"/>
  <c r="CH600" i="3"/>
  <c r="CH601" i="3"/>
  <c r="ER601" i="3" s="1"/>
  <c r="CH602" i="3"/>
  <c r="CH603" i="3"/>
  <c r="ER603" i="3" s="1"/>
  <c r="CH604" i="3"/>
  <c r="ER604" i="3" s="1"/>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97" i="11" s="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AI7" i="15"/>
  <c r="B59" i="4"/>
  <c r="C80" i="11"/>
  <c r="C81" i="11"/>
  <c r="B80" i="11"/>
  <c r="B81" i="11"/>
  <c r="B82" i="11" s="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D41" i="11" s="1"/>
  <c r="C42" i="11"/>
  <c r="B42" i="11"/>
  <c r="B44" i="11"/>
  <c r="C44" i="11"/>
  <c r="B46" i="11"/>
  <c r="C46" i="11"/>
  <c r="B47" i="11"/>
  <c r="C47" i="11"/>
  <c r="B48" i="11"/>
  <c r="B49" i="11"/>
  <c r="B50" i="11"/>
  <c r="B51" i="11"/>
  <c r="B52" i="11"/>
  <c r="B53" i="11"/>
  <c r="C48" i="11"/>
  <c r="C49" i="11"/>
  <c r="C50" i="11"/>
  <c r="C51" i="11"/>
  <c r="D51" i="11" s="1"/>
  <c r="C52" i="11"/>
  <c r="C53" i="11"/>
  <c r="B57" i="11"/>
  <c r="C57" i="11"/>
  <c r="B58" i="11"/>
  <c r="C58" i="11"/>
  <c r="D58" i="11" s="1"/>
  <c r="B59" i="11"/>
  <c r="C59" i="11"/>
  <c r="B60" i="11"/>
  <c r="C60" i="11"/>
  <c r="B61" i="11"/>
  <c r="C61" i="11"/>
  <c r="B62" i="11"/>
  <c r="C62" i="11"/>
  <c r="D62" i="11" s="1"/>
  <c r="B66" i="11"/>
  <c r="B71" i="11" s="1"/>
  <c r="C66" i="11"/>
  <c r="B73" i="11"/>
  <c r="C73" i="11"/>
  <c r="B74" i="11"/>
  <c r="C74" i="11"/>
  <c r="B75" i="11"/>
  <c r="C75" i="11"/>
  <c r="B76" i="11"/>
  <c r="C76" i="11"/>
  <c r="B77" i="11"/>
  <c r="C77" i="11"/>
  <c r="B84" i="11"/>
  <c r="C84" i="11"/>
  <c r="B100" i="1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596" i="3"/>
  <c r="DX599" i="3"/>
  <c r="DX601" i="3"/>
  <c r="DX602" i="3"/>
  <c r="DX603" i="3"/>
  <c r="DX604" i="3"/>
  <c r="DX605" i="3"/>
  <c r="DX607" i="3"/>
  <c r="DX608" i="3"/>
  <c r="DX611" i="3"/>
  <c r="DX612" i="3"/>
  <c r="DX613" i="3"/>
  <c r="DX615" i="3"/>
  <c r="DX616" i="3"/>
  <c r="DX617" i="3"/>
  <c r="DX618" i="3"/>
  <c r="DX619" i="3"/>
  <c r="DX620" i="3"/>
  <c r="EC596" i="3"/>
  <c r="EC597" i="3"/>
  <c r="EC598"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5" i="3"/>
  <c r="EM607" i="3"/>
  <c r="EM608" i="3"/>
  <c r="EM610" i="3"/>
  <c r="EM611" i="3"/>
  <c r="EM614" i="3"/>
  <c r="EM615" i="3"/>
  <c r="EM616" i="3"/>
  <c r="EM618" i="3"/>
  <c r="EM619" i="3"/>
  <c r="EW599" i="3"/>
  <c r="EW600" i="3"/>
  <c r="EW602" i="3"/>
  <c r="EW603" i="3"/>
  <c r="EW605" i="3"/>
  <c r="EW609" i="3"/>
  <c r="EW610" i="3"/>
  <c r="EW611" i="3"/>
  <c r="EW615" i="3"/>
  <c r="EW616" i="3"/>
  <c r="EW617" i="3"/>
  <c r="ER596" i="3"/>
  <c r="ER598" i="3"/>
  <c r="ER599" i="3"/>
  <c r="ER600" i="3"/>
  <c r="ER602" i="3"/>
  <c r="ER605" i="3"/>
  <c r="ER608" i="3"/>
  <c r="ER609" i="3"/>
  <c r="ER610" i="3"/>
  <c r="ER612" i="3"/>
  <c r="ER613" i="3"/>
  <c r="ER614" i="3"/>
  <c r="ER615" i="3"/>
  <c r="ER616" i="3"/>
  <c r="ER617" i="3"/>
  <c r="ER620" i="3"/>
  <c r="C11" i="4"/>
  <c r="B26" i="13"/>
  <c r="C38" i="4"/>
  <c r="B38" i="13" s="1"/>
  <c r="C54" i="4"/>
  <c r="B54" i="4" s="1"/>
  <c r="C62" i="4"/>
  <c r="B62" i="13" s="1"/>
  <c r="C77" i="4"/>
  <c r="B77" i="13"/>
  <c r="C96" i="4"/>
  <c r="B96" i="13" s="1"/>
  <c r="B104" i="13"/>
  <c r="D8" i="4"/>
  <c r="D11" i="4"/>
  <c r="D26" i="4"/>
  <c r="D38" i="4"/>
  <c r="D42" i="4"/>
  <c r="D54" i="4"/>
  <c r="D62" i="4"/>
  <c r="D77" i="4"/>
  <c r="D96" i="4"/>
  <c r="D104" i="4"/>
  <c r="B104" i="4"/>
  <c r="AO637" i="3"/>
  <c r="E26" i="13"/>
  <c r="S38" i="4"/>
  <c r="E38" i="13" s="1"/>
  <c r="S42" i="4"/>
  <c r="E42" i="13" s="1"/>
  <c r="S54" i="4"/>
  <c r="S96" i="4"/>
  <c r="E96" i="13" s="1"/>
  <c r="S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6"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AH714" i="3" s="1"/>
  <c r="BA657" i="3"/>
  <c r="AH715" i="3" s="1"/>
  <c r="BA658" i="3"/>
  <c r="AH716" i="3" s="1"/>
  <c r="BA659" i="3"/>
  <c r="AH717" i="3" s="1"/>
  <c r="G663" i="3"/>
  <c r="Z663" i="3"/>
  <c r="BA660" i="3"/>
  <c r="AH718" i="3" s="1"/>
  <c r="BA661" i="3"/>
  <c r="BA662" i="3"/>
  <c r="AH720" i="3" s="1"/>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B77" i="4"/>
  <c r="D49" i="11"/>
  <c r="D50" i="11"/>
  <c r="I63" i="13"/>
  <c r="I97" i="13"/>
  <c r="I105" i="13"/>
  <c r="I107" i="13"/>
  <c r="D54" i="11"/>
  <c r="D53" i="11"/>
  <c r="J63" i="13"/>
  <c r="J97" i="13"/>
  <c r="J105" i="13"/>
  <c r="J107" i="13"/>
  <c r="L12" i="4"/>
  <c r="D93" i="11"/>
  <c r="D5" i="11"/>
  <c r="D70" i="11"/>
  <c r="D80" i="11"/>
  <c r="D52" i="11"/>
  <c r="I12" i="4"/>
  <c r="G12" i="4"/>
  <c r="D46" i="11"/>
  <c r="D6" i="11"/>
  <c r="L63" i="4"/>
  <c r="L97" i="4"/>
  <c r="L105" i="4"/>
  <c r="Q12" i="4"/>
  <c r="B11" i="4"/>
  <c r="O63" i="4"/>
  <c r="O97" i="4"/>
  <c r="O105" i="4"/>
  <c r="D18" i="11"/>
  <c r="R70" i="4"/>
  <c r="B8" i="4"/>
  <c r="N158" i="26" s="1"/>
  <c r="D10" i="11"/>
  <c r="D36" i="11"/>
  <c r="G63" i="13"/>
  <c r="G97" i="13"/>
  <c r="G105" i="13"/>
  <c r="G107" i="13"/>
  <c r="D61" i="11"/>
  <c r="D57" i="11"/>
  <c r="D20" i="11"/>
  <c r="D8" i="11"/>
  <c r="D85" i="11"/>
  <c r="B43" i="11"/>
  <c r="D102" i="11"/>
  <c r="D94" i="11"/>
  <c r="K12" i="4"/>
  <c r="C12" i="13"/>
  <c r="D63" i="4"/>
  <c r="D97" i="4"/>
  <c r="D105" i="4"/>
  <c r="B78" i="11"/>
  <c r="D7" i="11"/>
  <c r="F63" i="4"/>
  <c r="F97" i="4" s="1"/>
  <c r="F105" i="4" s="1"/>
  <c r="J12" i="4"/>
  <c r="D22" i="11"/>
  <c r="O12" i="4"/>
  <c r="I63" i="4"/>
  <c r="I97" i="4"/>
  <c r="I105" i="4"/>
  <c r="D95" i="11"/>
  <c r="D25" i="11"/>
  <c r="B11" i="13"/>
  <c r="D12" i="4"/>
  <c r="R77" i="4"/>
  <c r="H12" i="4"/>
  <c r="C82" i="11"/>
  <c r="B9" i="11"/>
  <c r="D9" i="11" s="1"/>
  <c r="C39" i="11"/>
  <c r="D23" i="11"/>
  <c r="D19" i="11"/>
  <c r="D89" i="11"/>
  <c r="D73" i="11"/>
  <c r="D44" i="11"/>
  <c r="D35" i="11"/>
  <c r="D31" i="11"/>
  <c r="D32" i="11"/>
  <c r="D15" i="11"/>
  <c r="D63" i="13"/>
  <c r="D97" i="13"/>
  <c r="D105" i="13"/>
  <c r="D14" i="11"/>
  <c r="Q63" i="4"/>
  <c r="Q97" i="4"/>
  <c r="Q105" i="4"/>
  <c r="C105" i="11"/>
  <c r="D105" i="11" s="1"/>
  <c r="D87" i="11"/>
  <c r="N63" i="4"/>
  <c r="N97" i="4"/>
  <c r="N105" i="4"/>
  <c r="N12" i="4"/>
  <c r="H63" i="4"/>
  <c r="H97" i="4"/>
  <c r="H105" i="4"/>
  <c r="F12" i="4"/>
  <c r="D60" i="11"/>
  <c r="M12" i="4"/>
  <c r="R8" i="4"/>
  <c r="R12" i="4" s="1"/>
  <c r="D84" i="11"/>
  <c r="D74" i="11"/>
  <c r="D59" i="11"/>
  <c r="D38" i="11"/>
  <c r="R42" i="4"/>
  <c r="P63" i="4"/>
  <c r="P97" i="4"/>
  <c r="P105" i="4"/>
  <c r="B63" i="11"/>
  <c r="C9" i="11"/>
  <c r="D12" i="13"/>
  <c r="D100" i="11"/>
  <c r="D24" i="11"/>
  <c r="D101" i="11"/>
  <c r="D90" i="11"/>
  <c r="R62" i="4"/>
  <c r="C63" i="13"/>
  <c r="C97" i="13"/>
  <c r="C105" i="13"/>
  <c r="D75" i="11"/>
  <c r="B39" i="11"/>
  <c r="D28" i="11"/>
  <c r="D103" i="11"/>
  <c r="D88" i="11"/>
  <c r="D42" i="11"/>
  <c r="D21" i="11"/>
  <c r="D16" i="11"/>
  <c r="B12" i="11"/>
  <c r="R26" i="4"/>
  <c r="D86" i="11"/>
  <c r="F63" i="13"/>
  <c r="F97" i="13"/>
  <c r="F105" i="13"/>
  <c r="F107" i="13"/>
  <c r="AH719" i="3"/>
  <c r="AD199" i="20"/>
  <c r="B42" i="4"/>
  <c r="D77" i="11"/>
  <c r="D47" i="11"/>
  <c r="C71" i="11"/>
  <c r="M63" i="4"/>
  <c r="M97" i="4"/>
  <c r="M105" i="4"/>
  <c r="R104" i="4"/>
  <c r="G63" i="4"/>
  <c r="G97" i="4"/>
  <c r="G105" i="4" s="1"/>
  <c r="D91" i="11"/>
  <c r="J63" i="4"/>
  <c r="J97" i="4"/>
  <c r="J105" i="4"/>
  <c r="C12" i="11"/>
  <c r="K63" i="4"/>
  <c r="K97" i="4"/>
  <c r="K105" i="4"/>
  <c r="B105" i="11"/>
  <c r="AD7" i="15"/>
  <c r="D104" i="11"/>
  <c r="E12" i="4"/>
  <c r="T63" i="4"/>
  <c r="T97" i="4"/>
  <c r="D11" i="11"/>
  <c r="C12" i="4"/>
  <c r="B12" i="13" s="1"/>
  <c r="B13" i="11"/>
  <c r="D13" i="11" s="1"/>
  <c r="D12" i="11"/>
  <c r="C13" i="11"/>
  <c r="D30" i="8"/>
  <c r="H63" i="13"/>
  <c r="T105" i="4"/>
  <c r="H97" i="13"/>
  <c r="D96" i="11"/>
  <c r="T107" i="4"/>
  <c r="H105" i="13"/>
  <c r="H107" i="13"/>
  <c r="AD11" i="15"/>
  <c r="AB223" i="20"/>
  <c r="AB239" i="20" s="1"/>
  <c r="AB241" i="20" s="1"/>
  <c r="AB243" i="20" s="1"/>
  <c r="AB249" i="20" s="1"/>
  <c r="AD198" i="20" s="1"/>
  <c r="AD200" i="20" s="1"/>
  <c r="AO65" i="20" l="1"/>
  <c r="B38" i="4"/>
  <c r="B63" i="4" s="1"/>
  <c r="R96" i="4"/>
  <c r="D76" i="11"/>
  <c r="R38" i="4"/>
  <c r="E63" i="4"/>
  <c r="G58" i="7"/>
  <c r="I53" i="7"/>
  <c r="Q28" i="7"/>
  <c r="W28" i="7"/>
  <c r="I28" i="7"/>
  <c r="G28" i="7"/>
  <c r="O28" i="7"/>
  <c r="M28" i="7"/>
  <c r="K28" i="7"/>
  <c r="AG28" i="7"/>
  <c r="AA28" i="7"/>
  <c r="AC28" i="7"/>
  <c r="Y28" i="7"/>
  <c r="U28" i="7"/>
  <c r="S28" i="7"/>
  <c r="AH722" i="3"/>
  <c r="AG40" i="7"/>
  <c r="AG43" i="7" s="1"/>
  <c r="G40" i="7"/>
  <c r="G43" i="7" s="1"/>
  <c r="C55" i="11"/>
  <c r="B97" i="11"/>
  <c r="B55" i="11"/>
  <c r="B64" i="11" s="1"/>
  <c r="B98" i="11" s="1"/>
  <c r="B106" i="11" s="1"/>
  <c r="S63" i="4"/>
  <c r="E63" i="13" s="1"/>
  <c r="E54" i="13"/>
  <c r="E104" i="13"/>
  <c r="D92" i="11"/>
  <c r="D97" i="11"/>
  <c r="B96" i="4"/>
  <c r="N164" i="26"/>
  <c r="R81" i="4"/>
  <c r="D82" i="11"/>
  <c r="D81" i="11"/>
  <c r="B81" i="4"/>
  <c r="C78" i="11"/>
  <c r="D78" i="11" s="1"/>
  <c r="E97" i="4"/>
  <c r="E105" i="4" s="1"/>
  <c r="D71" i="11"/>
  <c r="D66" i="11"/>
  <c r="B70" i="13"/>
  <c r="C63" i="11"/>
  <c r="D63" i="11" s="1"/>
  <c r="B62" i="4"/>
  <c r="R54" i="4"/>
  <c r="B54" i="13"/>
  <c r="D48" i="11"/>
  <c r="D55" i="11"/>
  <c r="C43" i="11"/>
  <c r="D43" i="11" s="1"/>
  <c r="D39" i="11"/>
  <c r="C63" i="4"/>
  <c r="C97" i="4" s="1"/>
  <c r="C105" i="4" s="1"/>
  <c r="B12" i="4"/>
  <c r="AZ835" i="3"/>
  <c r="AZ840" i="3" s="1"/>
  <c r="BA973" i="3"/>
  <c r="I1013" i="3" s="1"/>
  <c r="AK172" i="20"/>
  <c r="AP355" i="20"/>
  <c r="AQ355" i="20" s="1"/>
  <c r="AS351" i="20" s="1"/>
  <c r="AS347" i="20" s="1"/>
  <c r="AK458" i="20" s="1"/>
  <c r="T802" i="20" s="1"/>
  <c r="AF802"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AD28" i="15" s="1"/>
  <c r="P30" i="21" a="1"/>
  <c r="P30" i="21" s="1"/>
  <c r="DR621"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E26" i="21"/>
  <c r="E23" i="21"/>
  <c r="F23" i="21" s="1"/>
  <c r="G23" i="21" s="1"/>
  <c r="AS349" i="20" l="1"/>
  <c r="R63" i="4"/>
  <c r="R97" i="4" s="1"/>
  <c r="R105" i="4" s="1"/>
  <c r="K53" i="7"/>
  <c r="I58" i="7"/>
  <c r="AC869" i="3"/>
  <c r="S97" i="4"/>
  <c r="E97" i="13" s="1"/>
  <c r="C64" i="11"/>
  <c r="D64" i="11" s="1"/>
  <c r="B63" i="13"/>
  <c r="EC628" i="3"/>
  <c r="T800" i="20"/>
  <c r="AF800" i="20" s="1"/>
  <c r="Y27" i="15"/>
  <c r="AI27" i="15"/>
  <c r="T789" i="20"/>
  <c r="AF789" i="20" s="1"/>
  <c r="AK78" i="20"/>
  <c r="AI23" i="15"/>
  <c r="AI26" i="15" s="1"/>
  <c r="E35" i="7"/>
  <c r="T27" i="15"/>
  <c r="BH702" i="3"/>
  <c r="BI702" i="3" s="1"/>
  <c r="Y784" i="3"/>
  <c r="B97" i="4"/>
  <c r="B97" i="13"/>
  <c r="AC454" i="3"/>
  <c r="B105" i="4"/>
  <c r="AG258" i="20"/>
  <c r="B105" i="1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M53" i="7" l="1"/>
  <c r="K58" i="7"/>
  <c r="S105" i="4"/>
  <c r="S107" i="4" s="1"/>
  <c r="AC455" i="3" s="1"/>
  <c r="C98" i="11"/>
  <c r="D98" i="11" s="1"/>
  <c r="AB47" i="15"/>
  <c r="AB49" i="15" s="1"/>
  <c r="AB54" i="15" s="1"/>
  <c r="AB55" i="15" s="1"/>
  <c r="N154" i="26"/>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O22" i="21"/>
  <c r="P22" i="21" s="1" a="1"/>
  <c r="P22" i="21" s="1"/>
  <c r="R22" i="21" s="1"/>
  <c r="O23" i="21"/>
  <c r="P23" i="21" s="1" a="1"/>
  <c r="P23" i="21" s="1"/>
  <c r="R23" i="21" s="1"/>
  <c r="O20" i="21"/>
  <c r="P20" i="21" s="1" a="1"/>
  <c r="P20" i="21" s="1"/>
  <c r="R20" i="21" s="1"/>
  <c r="O21" i="21"/>
  <c r="P21" i="21" s="1" a="1"/>
  <c r="P21" i="21" s="1"/>
  <c r="R21" i="21" s="1"/>
  <c r="AW116" i="20"/>
  <c r="AI28" i="15"/>
  <c r="AK180" i="20"/>
  <c r="T796" i="20" s="1"/>
  <c r="AF796" i="20" s="1"/>
  <c r="T790" i="20"/>
  <c r="AF790" i="20" s="1"/>
  <c r="K8" i="7"/>
  <c r="M8" i="7" s="1"/>
  <c r="AB255" i="20"/>
  <c r="AG257" i="20" s="1"/>
  <c r="AG259" i="20" s="1"/>
  <c r="AK262" i="20" s="1"/>
  <c r="T797" i="20" s="1"/>
  <c r="AF797" i="20" s="1"/>
  <c r="AC453" i="3"/>
  <c r="F456" i="3"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M58" i="7" l="1"/>
  <c r="O53" i="7"/>
  <c r="AF540" i="20"/>
  <c r="E105" i="13"/>
  <c r="E107" i="13"/>
  <c r="C106" i="11"/>
  <c r="D106" i="11" s="1"/>
  <c r="N165" i="26"/>
  <c r="N15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O58" i="7" l="1"/>
  <c r="Q53" i="7"/>
  <c r="T11" i="15"/>
  <c r="T23" i="15" s="1"/>
  <c r="Y11" i="15"/>
  <c r="Y23" i="15" s="1"/>
  <c r="Y26" i="15" s="1"/>
  <c r="Y28" i="15" s="1"/>
  <c r="B1025" i="3"/>
  <c r="AJ1014" i="3"/>
  <c r="AP542" i="20" s="1"/>
  <c r="AJ1010" i="3"/>
  <c r="AP541" i="20" s="1"/>
  <c r="K4" i="7"/>
  <c r="M4" i="7" s="1"/>
  <c r="E45" i="7"/>
  <c r="E48" i="7" s="1"/>
  <c r="AJ1018" i="3"/>
  <c r="AP539" i="20"/>
  <c r="G45" i="7"/>
  <c r="G49" i="7"/>
  <c r="K6" i="7"/>
  <c r="I7" i="7"/>
  <c r="I11" i="7" s="1"/>
  <c r="I37" i="7" s="1"/>
  <c r="G24" i="21"/>
  <c r="F27" i="21"/>
  <c r="G27" i="21"/>
  <c r="O22" i="7"/>
  <c r="O35" i="7" s="1"/>
  <c r="Q15" i="7"/>
  <c r="O9" i="7"/>
  <c r="Q8" i="7"/>
  <c r="Q58" i="7" l="1"/>
  <c r="S53" i="7"/>
  <c r="T26" i="15"/>
  <c r="T28" i="15" s="1"/>
  <c r="T29" i="15" s="1"/>
  <c r="Y64" i="15"/>
  <c r="Y68" i="15" s="1"/>
  <c r="AP543" i="20"/>
  <c r="K5" i="7"/>
  <c r="E47" i="7"/>
  <c r="E60" i="7"/>
  <c r="T24" i="15"/>
  <c r="AP546" i="20"/>
  <c r="AP545" i="20" s="1"/>
  <c r="O4" i="7"/>
  <c r="M5" i="7"/>
  <c r="I45" i="7"/>
  <c r="I49" i="7"/>
  <c r="M6" i="7"/>
  <c r="K7" i="7"/>
  <c r="G60" i="7"/>
  <c r="G47" i="7"/>
  <c r="G48" i="7"/>
  <c r="Q22" i="7"/>
  <c r="Q35" i="7" s="1"/>
  <c r="S15" i="7"/>
  <c r="G95" i="21"/>
  <c r="G96" i="21" s="1"/>
  <c r="G29" i="21"/>
  <c r="G31" i="21" s="1"/>
  <c r="E9" i="21" s="1"/>
  <c r="G104" i="21"/>
  <c r="G106" i="21" s="1"/>
  <c r="G79" i="21"/>
  <c r="G64" i="21"/>
  <c r="Q9" i="7"/>
  <c r="S8" i="7"/>
  <c r="E67" i="7" l="1"/>
  <c r="E66" i="7"/>
  <c r="S58" i="7"/>
  <c r="U53" i="7"/>
  <c r="Y38" i="15"/>
  <c r="Y40" i="15" s="1"/>
  <c r="AP548" i="20"/>
  <c r="AF541" i="20" s="1"/>
  <c r="AF542" i="20" s="1"/>
  <c r="AK548" i="20" s="1"/>
  <c r="T803" i="20" s="1"/>
  <c r="AF803" i="20" s="1"/>
  <c r="AF806" i="20" s="1"/>
  <c r="K11" i="7"/>
  <c r="K37" i="7" s="1"/>
  <c r="K45" i="7" s="1"/>
  <c r="O5" i="7"/>
  <c r="Q4" i="7"/>
  <c r="AD38" i="15"/>
  <c r="AD40" i="15" s="1"/>
  <c r="M7" i="7"/>
  <c r="M11" i="7" s="1"/>
  <c r="M37" i="7" s="1"/>
  <c r="O6" i="7"/>
  <c r="G67" i="7"/>
  <c r="G62" i="7"/>
  <c r="G66" i="7"/>
  <c r="I48" i="7"/>
  <c r="I60" i="7"/>
  <c r="I47" i="7"/>
  <c r="G69" i="21"/>
  <c r="G81" i="21"/>
  <c r="G65" i="21"/>
  <c r="S22" i="7"/>
  <c r="S35" i="7" s="1"/>
  <c r="U15" i="7"/>
  <c r="E14" i="21"/>
  <c r="E15" i="21" s="1"/>
  <c r="U8" i="7"/>
  <c r="S9" i="7"/>
  <c r="U58" i="7" l="1"/>
  <c r="W53"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Y53" i="7" l="1"/>
  <c r="W58" i="7"/>
  <c r="AB57" i="15"/>
  <c r="U4" i="7"/>
  <c r="S5" i="7"/>
  <c r="P203" i="3"/>
  <c r="M48" i="7"/>
  <c r="M47" i="7"/>
  <c r="M60" i="7"/>
  <c r="O45" i="7"/>
  <c r="O49" i="7"/>
  <c r="K66" i="7"/>
  <c r="K67" i="7"/>
  <c r="K62" i="7"/>
  <c r="Q7" i="7"/>
  <c r="Q11" i="7" s="1"/>
  <c r="Q37" i="7" s="1"/>
  <c r="S6" i="7"/>
  <c r="I70" i="7"/>
  <c r="I72" i="7" s="1"/>
  <c r="W22" i="7"/>
  <c r="W35" i="7" s="1"/>
  <c r="Y15" i="7"/>
  <c r="W9" i="7"/>
  <c r="Y8" i="7"/>
  <c r="AA53" i="7" l="1"/>
  <c r="Y58" i="7"/>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C53" i="7" l="1"/>
  <c r="AA58" i="7"/>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AC58" i="7" l="1"/>
  <c r="AE53" i="7"/>
  <c r="P204" i="3"/>
  <c r="AA4" i="7"/>
  <c r="Y5" i="7"/>
  <c r="Y6" i="7"/>
  <c r="W7" i="7"/>
  <c r="W11" i="7" s="1"/>
  <c r="W37" i="7" s="1"/>
  <c r="U45" i="7"/>
  <c r="U49" i="7"/>
  <c r="Q66" i="7"/>
  <c r="Q67" i="7"/>
  <c r="Q62" i="7"/>
  <c r="S48" i="7"/>
  <c r="S47" i="7"/>
  <c r="S60" i="7"/>
  <c r="O70" i="7"/>
  <c r="O72" i="7" s="1"/>
  <c r="AE15" i="7"/>
  <c r="AC22" i="7"/>
  <c r="AC35" i="7" s="1"/>
  <c r="AC9" i="7"/>
  <c r="AE8" i="7"/>
  <c r="AE58" i="7" l="1"/>
  <c r="AG53" i="7"/>
  <c r="AG58" i="7" s="1"/>
  <c r="AA5" i="7"/>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70" i="7" l="1"/>
  <c r="AA72" i="7" s="1"/>
  <c r="AC66" i="7"/>
  <c r="AC67" i="7"/>
  <c r="AE47" i="7"/>
  <c r="AE60" i="7"/>
  <c r="AE48" i="7"/>
  <c r="AG49" i="7"/>
  <c r="AG45" i="7"/>
  <c r="AG48" i="7" l="1"/>
  <c r="AG60" i="7"/>
  <c r="AG47" i="7"/>
  <c r="AE66" i="7"/>
  <c r="AE67" i="7"/>
  <c r="AC70" i="7"/>
  <c r="AC72" i="7" s="1"/>
  <c r="AE70" i="7" l="1"/>
  <c r="AE72" i="7" s="1"/>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<sst xmlns="http://schemas.openxmlformats.org/spreadsheetml/2006/main" count="5213" uniqueCount="2741">
  <si>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</si>
  <si>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</si>
  <si>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</si>
  <si>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</si>
  <si>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</si>
  <si>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</si>
  <si>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</si>
  <si>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</si>
  <si>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</si>
  <si>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</si>
  <si>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</si>
  <si>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</si>
  <si>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</si>
  <si>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</si>
  <si>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</si>
  <si>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</si>
  <si>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</si>
  <si>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</si>
  <si>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</si>
  <si>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</si>
  <si>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</si>
  <si>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</si>
  <si>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</si>
  <si>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</si>
  <si>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</si>
  <si>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</si>
  <si>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</si>
  <si>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</si>
  <si>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</si>
  <si>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</si>
  <si>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</si>
  <si>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</si>
  <si>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</si>
  <si>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</si>
  <si>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</si>
  <si>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</si>
  <si>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</si>
  <si>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</si>
  <si>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</si>
  <si>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</si>
  <si>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</si>
  <si>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</si>
  <si>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</si>
  <si>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</si>
  <si>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</si>
  <si>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</si>
  <si>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</si>
  <si>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</si>
  <si>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</si>
  <si>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</si>
  <si>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</si>
  <si>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</si>
  <si>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</si>
  <si>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</si>
  <si>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</si>
  <si>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</si>
  <si>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</si>
  <si>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</si>
  <si>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</si>
  <si>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</si>
  <si>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</si>
  <si>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</si>
  <si>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</si>
  <si>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</si>
  <si>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</si>
  <si>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</si>
  <si>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</si>
  <si>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</si>
  <si>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</si>
  <si>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</si>
  <si>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</si>
  <si>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</si>
  <si>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</si>
  <si>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</si>
  <si>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</si>
  <si>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</si>
  <si>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</si>
  <si>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</si>
  <si>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</si>
  <si>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</si>
  <si>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</si>
  <si>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</si>
  <si>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</si>
  <si>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</si>
  <si>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</si>
  <si>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</si>
  <si>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</si>
  <si>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</si>
  <si>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</si>
  <si>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</si>
  <si>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</si>
  <si>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</si>
  <si>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</si>
  <si>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</si>
  <si>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</si>
  <si>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</si>
  <si>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</si>
  <si>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</si>
  <si>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</si>
  <si>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</si>
  <si>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</si>
  <si>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</si>
  <si>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</si>
  <si>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</si>
  <si>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</si>
  <si>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</si>
  <si>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</si>
  <si>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</si>
  <si>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</si>
  <si>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</si>
  <si>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</si>
  <si>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</si>
  <si>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</si>
  <si>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</si>
  <si>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</si>
  <si>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</si>
  <si>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</si>
  <si>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</si>
  <si>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</si>
  <si>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</si>
  <si>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</si>
  <si>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</si>
  <si>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</si>
  <si>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</si>
  <si>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</si>
  <si>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</si>
  <si>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</si>
  <si>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</si>
  <si>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</si>
  <si>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</si>
  <si>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</si>
  <si>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</si>
  <si>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</si>
  <si>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</si>
  <si>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</si>
  <si>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</si>
  <si>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</si>
  <si>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</si>
  <si>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</si>
  <si>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</si>
  <si>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</si>
  <si>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</si>
  <si>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</si>
  <si>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</si>
  <si>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</si>
  <si>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</si>
  <si>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</si>
  <si>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</si>
  <si>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</si>
  <si>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</si>
  <si>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</si>
  <si>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</si>
  <si>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</si>
  <si>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</si>
  <si>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</si>
  <si>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</si>
  <si>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</si>
  <si>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</si>
  <si>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</si>
  <si>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</si>
  <si>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</si>
  <si>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</si>
  <si>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</si>
  <si>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</si>
  <si>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</si>
  <si>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</si>
  <si>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</si>
  <si>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</si>
  <si>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</si>
  <si>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</si>
  <si>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</si>
  <si>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</si>
  <si>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</si>
  <si>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</si>
  <si>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</si>
  <si>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</si>
  <si>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</si>
  <si>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</si>
  <si>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</si>
  <si>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</si>
  <si>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</si>
  <si>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</si>
  <si>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</si>
  <si>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</si>
  <si>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</si>
  <si>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</si>
  <si>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</si>
  <si>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</si>
  <si>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</si>
  <si>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</si>
  <si>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</si>
  <si>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</si>
  <si>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</si>
  <si>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</si>
  <si>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</si>
  <si>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</si>
  <si>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</si>
  <si>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</si>
  <si>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</si>
  <si>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</si>
  <si>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</si>
  <si>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</si>
  <si>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</si>
  <si>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</si>
  <si>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</si>
  <si>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</si>
  <si>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</si>
  <si>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</si>
  <si>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</si>
  <si>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</si>
  <si>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</si>
  <si>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</si>
  <si>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</si>
  <si>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</si>
  <si>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</si>
  <si>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</si>
  <si>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</si>
  <si>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</si>
  <si>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</si>
  <si>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</si>
  <si>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</si>
  <si>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</si>
  <si>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</si>
  <si>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</si>
  <si>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</si>
  <si>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</si>
  <si>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</si>
  <si>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</si>
  <si>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</si>
  <si>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</si>
  <si>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</si>
  <si>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</si>
  <si>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</si>
  <si>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</si>
  <si>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</si>
  <si>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</si>
  <si>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</si>
  <si>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</si>
  <si>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</si>
  <si>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</si>
  <si>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</si>
  <si>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</si>
  <si>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</si>
  <si>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</si>
  <si>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</si>
  <si>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</si>
  <si>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</si>
  <si>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</si>
  <si>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</si>
  <si>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</si>
  <si>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</si>
  <si>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</si>
  <si>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</si>
  <si>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</si>
  <si>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</si>
  <si>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</si>
  <si>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</si>
  <si>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</si>
  <si>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</si>
  <si>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</si>
  <si>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</si>
  <si>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</si>
  <si>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</si>
  <si>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</si>
  <si>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</si>
  <si>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</si>
  <si>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</si>
  <si>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</si>
  <si>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</si>
  <si>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</si>
  <si>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</si>
  <si>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</si>
  <si>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</si>
  <si>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</si>
  <si>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</si>
  <si>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</si>
  <si>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</si>
  <si>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</si>
  <si>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</si>
  <si>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</si>
  <si>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</si>
  <si>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</si>
  <si>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</si>
  <si>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</si>
  <si>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</si>
  <si>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</si>
  <si>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</si>
  <si>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</si>
  <si>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</si>
  <si>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</si>
  <si>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</si>
  <si>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</si>
  <si>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</si>
  <si>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</si>
  <si>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</si>
  <si>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</si>
  <si>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</si>
  <si>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</si>
  <si>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</si>
  <si>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</si>
  <si>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</si>
  <si>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</si>
  <si>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</si>
  <si>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</si>
  <si>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</si>
  <si>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</si>
  <si>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</si>
  <si>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</si>
  <si>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</si>
  <si>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</si>
  <si>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</si>
  <si>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</si>
  <si>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</si>
  <si>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</si>
  <si>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</si>
  <si>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</si>
  <si>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</si>
  <si>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</si>
  <si>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</si>
  <si>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</si>
  <si>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</si>
  <si>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</si>
  <si>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</si>
  <si>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</si>
  <si>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</si>
  <si>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</si>
  <si>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</si>
  <si>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</si>
  <si>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</si>
  <si>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</si>
  <si>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</si>
  <si>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</si>
  <si>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</si>
  <si>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</si>
  <si>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</si>
  <si>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</si>
  <si>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</si>
  <si>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</si>
  <si>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</si>
  <si>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</si>
  <si>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</si>
  <si>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</si>
  <si>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</si>
  <si>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</si>
  <si>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</si>
  <si>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</si>
  <si>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</si>
  <si>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</si>
  <si>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</si>
  <si>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</si>
  <si>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</si>
  <si>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</si>
  <si>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</si>
  <si>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</si>
  <si>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</si>
  <si>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</si>
  <si>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</si>
  <si>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</si>
  <si>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</si>
  <si>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</si>
  <si>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</si>
  <si>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</si>
  <si>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</si>
  <si>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</si>
  <si>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</si>
  <si>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</si>
  <si>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</si>
  <si>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</si>
  <si>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</si>
  <si>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</si>
  <si>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</si>
  <si>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</si>
  <si>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</si>
  <si>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</si>
  <si>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</si>
  <si>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</si>
  <si>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</si>
  <si>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</si>
  <si>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</si>
  <si>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</si>
  <si>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</si>
  <si>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</si>
  <si>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</si>
  <si>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</si>
  <si>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</si>
  <si>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</si>
  <si>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</si>
  <si>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</si>
  <si>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</si>
  <si>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</si>
  <si>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</si>
  <si>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</si>
  <si>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</si>
  <si>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</si>
  <si>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</si>
  <si>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</si>
  <si>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</si>
  <si>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</si>
  <si>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</si>
  <si>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</si>
  <si>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</si>
  <si>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</si>
  <si>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</si>
  <si>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</si>
  <si>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</si>
  <si>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</si>
  <si>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</si>
  <si>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</si>
  <si>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</si>
  <si>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</si>
  <si>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</si>
  <si>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</si>
  <si>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</si>
  <si>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</si>
  <si>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</si>
  <si>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</si>
  <si>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</si>
  <si>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</si>
  <si>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</si>
  <si>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</si>
  <si>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</si>
  <si>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</si>
  <si>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</si>
  <si>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</si>
  <si>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</si>
  <si>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</si>
  <si>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</si>
  <si>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</si>
  <si>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</si>
  <si>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</si>
  <si>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</si>
  <si>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</si>
  <si>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</si>
  <si>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</si>
  <si>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</si>
  <si>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</si>
  <si>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</si>
  <si>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</si>
  <si>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</si>
  <si>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</si>
  <si>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</si>
  <si>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</si>
  <si>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</si>
  <si>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</si>
  <si>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</si>
  <si>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</si>
  <si>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</si>
  <si>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</si>
  <si>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</si>
  <si>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</si>
  <si>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</si>
  <si>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</si>
  <si>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</si>
  <si>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</si>
  <si>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</si>
  <si>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</si>
  <si>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</si>
  <si>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</si>
  <si>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</si>
  <si>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</si>
  <si>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</si>
  <si>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</si>
  <si>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</si>
  <si>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</si>
  <si>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</si>
  <si>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</si>
  <si>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</si>
  <si>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</si>
  <si>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</si>
  <si>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</si>
  <si>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</si>
  <si>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</si>
  <si>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</si>
  <si>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</si>
  <si>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</si>
  <si>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</si>
  <si>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</si>
  <si>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</si>
  <si>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</si>
  <si>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</si>
  <si>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</si>
  <si>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</si>
  <si>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</si>
  <si>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</si>
  <si>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</si>
  <si>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</si>
  <si>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</si>
  <si>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</si>
  <si>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</si>
  <si>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</si>
  <si>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</si>
  <si>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</si>
  <si>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</si>
  <si>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</si>
  <si>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</si>
  <si>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</si>
  <si>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</si>
  <si>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</si>
  <si>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</si>
  <si>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</si>
  <si>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</si>
  <si>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</si>
  <si>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</si>
  <si>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</si>
  <si>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</si>
  <si>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</si>
  <si>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</si>
  <si>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</si>
  <si>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</si>
  <si>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</si>
  <si>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</si>
  <si>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</si>
  <si>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</si>
  <si>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</si>
  <si>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</si>
  <si>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</si>
  <si>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</si>
  <si>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</si>
  <si>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</si>
  <si>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</si>
  <si>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</si>
  <si>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</si>
  <si>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</si>
  <si>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</si>
  <si>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</si>
  <si>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</si>
  <si>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</si>
  <si>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</si>
  <si>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</si>
  <si>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</si>
  <si>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</si>
  <si>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</si>
  <si>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</si>
  <si>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</si>
  <si>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</si>
  <si>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</si>
  <si>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</si>
  <si>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</si>
  <si>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</si>
  <si>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</si>
  <si>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</si>
  <si>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</si>
  <si>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</si>
  <si>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</si>
  <si>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</si>
  <si>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</si>
  <si>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</si>
  <si>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</si>
  <si>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</si>
  <si>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</si>
  <si>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</si>
  <si>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</si>
  <si>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</si>
  <si>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</si>
  <si>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</si>
  <si>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</si>
  <si>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</si>
  <si>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</si>
  <si>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</si>
  <si>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</si>
  <si>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</si>
  <si>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</si>
  <si>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</si>
  <si>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</si>
  <si>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</si>
  <si>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</si>
  <si>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</si>
  <si>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</si>
  <si>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</si>
  <si>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</si>
  <si>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</si>
  <si>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</si>
  <si>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</si>
  <si>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</si>
  <si>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</si>
  <si>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</si>
  <si>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</si>
  <si>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</si>
  <si>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</si>
  <si>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</si>
  <si>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</si>
  <si>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</si>
  <si>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</si>
  <si>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</si>
  <si>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</si>
  <si>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</si>
  <si>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</si>
  <si>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</si>
  <si>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</si>
  <si>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</si>
  <si>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</si>
  <si>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</si>
  <si>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</si>
  <si>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</si>
  <si>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</si>
  <si>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</si>
  <si>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</si>
  <si>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</si>
  <si>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</si>
  <si>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</si>
  <si>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</si>
  <si>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</si>
  <si>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</si>
  <si>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</si>
  <si>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</si>
  <si>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</si>
  <si>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</si>
  <si>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</si>
  <si>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</si>
  <si>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</si>
  <si>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</si>
  <si>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</si>
  <si>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</si>
  <si>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</si>
  <si>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</si>
  <si>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</si>
  <si>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</si>
  <si>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</si>
  <si>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</si>
  <si>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</si>
  <si>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</si>
  <si>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</si>
  <si>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</si>
  <si>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</si>
  <si>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</si>
  <si>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</si>
  <si>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</si>
  <si>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</si>
  <si>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</si>
  <si>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</si>
  <si>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</si>
  <si>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</si>
  <si>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</si>
  <si>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</si>
  <si>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</si>
  <si>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</si>
  <si>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</si>
  <si>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</si>
  <si>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</si>
  <si>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</si>
  <si>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</si>
  <si>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</si>
  <si>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</si>
  <si>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</si>
  <si>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</si>
  <si>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</si>
  <si>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</si>
  <si>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</si>
  <si>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</si>
  <si>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</si>
  <si>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</si>
  <si>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</si>
  <si>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</si>
  <si>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</si>
  <si>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</si>
  <si>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</si>
  <si>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</si>
  <si>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</si>
  <si>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</si>
  <si>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</si>
  <si>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</si>
  <si>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</si>
  <si>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</si>
  <si>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</si>
  <si>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</si>
  <si>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</si>
  <si>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</si>
  <si>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</si>
  <si>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</si>
  <si>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</si>
  <si>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</si>
  <si>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</si>
  <si>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</si>
  <si>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</si>
  <si>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</si>
  <si>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</si>
  <si>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</si>
  <si>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</si>
  <si>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</si>
  <si>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</si>
  <si>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</si>
  <si>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</si>
  <si>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</si>
  <si>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</si>
  <si>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</si>
  <si>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</si>
  <si>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</si>
  <si>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</si>
  <si>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</si>
  <si>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</si>
  <si>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</si>
  <si>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</si>
  <si>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</si>
  <si>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</si>
  <si>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</si>
  <si>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</si>
  <si>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</si>
  <si>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</si>
  <si>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</si>
  <si>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</si>
  <si>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</si>
  <si>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</si>
  <si>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</si>
  <si>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</si>
  <si>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</si>
  <si>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</si>
  <si>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</si>
  <si>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</si>
  <si>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</si>
  <si>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</si>
  <si>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</si>
  <si>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</si>
  <si>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</si>
  <si>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</si>
  <si>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</si>
  <si>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</si>
  <si>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</si>
  <si>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</si>
  <si>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</si>
  <si>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</si>
  <si>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</si>
  <si>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</si>
  <si>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</si>
  <si>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</si>
  <si>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</si>
  <si>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</si>
  <si>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</si>
  <si>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</si>
  <si>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</si>
  <si>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</si>
  <si>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</si>
  <si>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</si>
  <si>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</si>
  <si>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</si>
  <si>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</si>
  <si>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</si>
  <si>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</si>
  <si>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</si>
  <si>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</si>
  <si>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</si>
  <si>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</si>
  <si>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</si>
  <si>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</si>
  <si>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</si>
  <si>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</si>
  <si>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</si>
  <si>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</si>
  <si>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</si>
  <si>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</si>
  <si>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</si>
  <si>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</si>
  <si>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</si>
  <si>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</si>
  <si>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</si>
  <si>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</si>
  <si>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</si>
  <si>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</si>
  <si>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</si>
  <si>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</si>
  <si>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</si>
  <si>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</si>
  <si>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</si>
  <si>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</si>
  <si>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</si>
  <si>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</si>
  <si>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</si>
  <si>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</si>
  <si>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</si>
  <si>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</si>
  <si>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</si>
  <si>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</si>
  <si>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</si>
  <si>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</si>
  <si>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</si>
  <si>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</si>
  <si>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</si>
  <si>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</si>
  <si>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</si>
  <si>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</si>
  <si>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</si>
  <si>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</si>
  <si>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</si>
  <si>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</si>
  <si>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</si>
  <si>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</si>
  <si>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</si>
  <si>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</si>
  <si>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</si>
  <si>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</si>
  <si>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</si>
  <si>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</si>
  <si>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</si>
  <si>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</si>
  <si>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</si>
  <si>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</si>
  <si>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</si>
  <si>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</si>
  <si>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</si>
  <si>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</si>
  <si>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</si>
  <si>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</si>
  <si>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</si>
  <si>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</si>
  <si>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</si>
  <si>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</si>
  <si>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</si>
  <si>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</si>
  <si>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</si>
  <si>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</si>
  <si>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</si>
  <si>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</si>
  <si>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</si>
  <si>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</si>
  <si>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</si>
  <si>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</si>
  <si>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</si>
  <si>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</si>
  <si>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</si>
  <si>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</si>
  <si>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</si>
  <si>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</si>
  <si>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</si>
  <si>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</si>
  <si>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</si>
  <si>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</si>
  <si>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</si>
  <si>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</si>
  <si>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</si>
  <si>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</si>
  <si>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</si>
  <si>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</si>
  <si>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</si>
  <si>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</si>
  <si>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</si>
  <si>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</si>
  <si>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</si>
  <si>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</si>
  <si>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</si>
  <si>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</si>
  <si>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</si>
  <si>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</si>
  <si>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</si>
  <si>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</si>
  <si>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</si>
  <si>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</si>
  <si>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</si>
  <si>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</si>
  <si>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</si>
  <si>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</si>
  <si>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</si>
  <si>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</si>
  <si>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</si>
  <si>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</si>
  <si>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</si>
  <si>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</si>
  <si>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</si>
  <si>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</si>
  <si>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</si>
  <si>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</si>
  <si>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</si>
  <si>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</si>
  <si>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</si>
  <si>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</si>
  <si>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</si>
  <si>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</si>
  <si>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</si>
  <si>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</si>
  <si>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</si>
  <si>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</si>
  <si>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</si>
  <si>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</si>
  <si>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</si>
  <si>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</si>
  <si>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</si>
  <si>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</si>
  <si>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</si>
  <si>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</si>
  <si>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</si>
  <si>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</si>
  <si>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</si>
  <si>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</si>
  <si>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</si>
  <si>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</si>
  <si>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</si>
  <si>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</si>
  <si>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</si>
  <si>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</si>
  <si>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</si>
  <si>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</si>
  <si>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</si>
  <si>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</si>
  <si>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</si>
  <si>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</si>
  <si>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</si>
  <si>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</si>
  <si>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</si>
  <si>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</si>
  <si>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</si>
  <si>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</si>
  <si>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</si>
  <si>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</si>
  <si>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</si>
  <si>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</si>
  <si>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</si>
  <si>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</si>
  <si>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</si>
  <si>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</si>
  <si>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</si>
  <si>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</si>
  <si>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</si>
  <si>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</si>
  <si>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</si>
  <si>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</si>
  <si>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</si>
  <si>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</si>
  <si>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</si>
  <si>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</si>
  <si>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</si>
  <si>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</si>
  <si>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</si>
  <si>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</si>
  <si>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</si>
  <si>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</si>
  <si>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</si>
  <si>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</si>
  <si>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</si>
  <si>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</si>
  <si>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</si>
  <si>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</si>
  <si>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</si>
  <si>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</si>
  <si>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</si>
  <si>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</si>
  <si>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</si>
  <si>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</si>
  <si>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</si>
  <si>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</si>
  <si>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</si>
  <si>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</si>
  <si>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</si>
  <si>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</si>
  <si>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</si>
  <si>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</si>
  <si>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</si>
  <si>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</si>
  <si>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</si>
  <si>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</si>
  <si>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</si>
  <si>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</si>
  <si>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</si>
  <si>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</si>
  <si>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</si>
  <si>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</si>
  <si>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</si>
  <si>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</si>
  <si>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</si>
  <si>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</si>
  <si>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</si>
  <si>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</si>
  <si>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</si>
  <si>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</si>
  <si>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</si>
  <si>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</si>
  <si>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</si>
  <si>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</si>
  <si>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</si>
  <si>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</si>
  <si>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</si>
  <si>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</si>
  <si>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</si>
  <si>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</si>
  <si>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</si>
  <si>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</si>
  <si>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</si>
  <si>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</si>
  <si>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</si>
  <si>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</si>
  <si>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</si>
  <si>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</si>
  <si>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</si>
  <si>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</si>
  <si>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</si>
  <si>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</si>
  <si>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</si>
  <si>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</si>
  <si>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</si>
  <si>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</si>
  <si>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</si>
  <si>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</si>
  <si>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</si>
  <si>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</si>
  <si>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</si>
  <si>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</si>
  <si>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</si>
  <si>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</si>
  <si>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</si>
  <si>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</si>
  <si>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</si>
  <si>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</si>
  <si>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</si>
  <si>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</si>
  <si>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</si>
  <si>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</si>
  <si>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</si>
  <si>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</si>
  <si>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</si>
  <si>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</si>
  <si>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</si>
  <si>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</si>
  <si>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</si>
  <si>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</si>
  <si>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</si>
  <si>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</si>
  <si>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</si>
  <si>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</si>
  <si>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</si>
  <si>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</si>
  <si>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</si>
  <si>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</si>
  <si>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</si>
  <si>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</si>
  <si>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</si>
  <si>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</si>
  <si>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</si>
  <si>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</si>
  <si>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</si>
  <si>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</si>
  <si>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</si>
  <si>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</si>
  <si>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</si>
  <si>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</si>
  <si>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</si>
  <si>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</si>
  <si>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</si>
  <si>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</si>
  <si>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</si>
  <si>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</si>
  <si>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</si>
  <si>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</si>
  <si>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</si>
  <si>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</si>
  <si>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</si>
  <si>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</si>
  <si>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</si>
  <si>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</si>
  <si>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</si>
  <si>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</si>
  <si>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</si>
  <si>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</si>
  <si>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</si>
  <si>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</si>
  <si>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</si>
  <si>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</si>
  <si>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</si>
  <si>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</si>
  <si>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</si>
  <si>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</si>
  <si>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</si>
  <si>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</si>
  <si>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</si>
  <si>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</si>
  <si>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</si>
  <si>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</si>
  <si>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</si>
  <si>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</si>
  <si>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</si>
  <si>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</si>
  <si>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</si>
  <si>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</si>
  <si>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</si>
  <si>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</si>
  <si>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</si>
  <si>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</si>
  <si>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</si>
  <si>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</si>
  <si>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</si>
  <si>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</si>
  <si>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</si>
  <si>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</si>
  <si>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</si>
  <si>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</si>
  <si>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</si>
  <si>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</si>
  <si>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</si>
  <si>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</si>
  <si>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</si>
  <si>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</si>
  <si>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</si>
  <si>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</si>
  <si>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</si>
  <si>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</si>
  <si>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</si>
  <si>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</si>
  <si>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</si>
  <si>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</si>
  <si>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</si>
  <si>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</si>
  <si>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</si>
  <si>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</si>
  <si>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</si>
  <si>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</si>
  <si>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</si>
  <si>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</si>
  <si>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</si>
  <si>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</si>
  <si>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</si>
  <si>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</si>
  <si>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</si>
  <si>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</si>
  <si>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</si>
  <si>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</si>
  <si>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</si>
  <si>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</si>
  <si>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</si>
  <si>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</si>
  <si>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</si>
  <si>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</si>
  <si>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</si>
  <si>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</si>
  <si>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</si>
  <si>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</si>
  <si>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</si>
  <si>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</si>
  <si>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</si>
  <si>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</si>
  <si>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</si>
  <si>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</si>
  <si>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</si>
  <si>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</si>
  <si>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</si>
  <si>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</si>
  <si>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</si>
  <si>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</si>
  <si>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</si>
  <si>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</si>
  <si>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</si>
  <si>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</si>
  <si>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</si>
  <si>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</si>
  <si>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</si>
  <si>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</si>
  <si>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</si>
  <si>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</si>
  <si>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</si>
  <si>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</si>
  <si>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</si>
  <si>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</si>
  <si>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</si>
  <si>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</si>
  <si>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</si>
  <si>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</si>
  <si>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</si>
  <si>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</si>
  <si>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</si>
  <si>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</si>
  <si>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</si>
  <si>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</si>
  <si>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</si>
  <si>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</si>
  <si>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</si>
  <si>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</si>
  <si>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</si>
  <si>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</si>
  <si>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</si>
  <si>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</si>
  <si>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</si>
  <si>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</si>
  <si>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</si>
  <si>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</si>
  <si>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</si>
  <si>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</si>
  <si>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</si>
  <si>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</si>
  <si>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</si>
  <si>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</si>
  <si>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</si>
  <si>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</si>
  <si>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</si>
  <si>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</si>
  <si>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</si>
  <si>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</si>
  <si>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</si>
  <si>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</si>
  <si>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</si>
  <si>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</si>
  <si>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</si>
  <si>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</si>
  <si>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</si>
  <si>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</si>
  <si>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</si>
  <si>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</si>
  <si>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</si>
  <si>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</si>
  <si>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</si>
  <si>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</si>
  <si>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</si>
  <si>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</si>
  <si>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</si>
  <si>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</si>
  <si>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</si>
  <si>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</si>
  <si>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</si>
  <si>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</si>
  <si>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</si>
  <si>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</si>
  <si>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</si>
  <si>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</si>
  <si>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</si>
  <si>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</si>
  <si>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</si>
  <si>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</si>
  <si>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</si>
  <si>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</si>
  <si>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</si>
  <si>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</si>
  <si>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</si>
  <si>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</si>
  <si>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</si>
  <si>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</si>
  <si>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</si>
  <si>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</si>
  <si>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</si>
  <si>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</si>
  <si>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</si>
  <si>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</si>
  <si>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</si>
  <si>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</si>
  <si>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</si>
  <si>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</si>
  <si>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</si>
  <si>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</si>
  <si>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</si>
  <si>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</si>
  <si>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</si>
  <si>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</si>
  <si>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</si>
  <si>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</si>
  <si>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</si>
  <si>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</si>
  <si>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</si>
  <si>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</si>
  <si>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</si>
  <si>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</si>
  <si>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</si>
  <si>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</si>
  <si>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</si>
  <si>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</si>
  <si>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</si>
  <si>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</si>
  <si>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</si>
  <si>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</si>
  <si>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</si>
  <si>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</si>
  <si>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</si>
  <si>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</si>
  <si>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</si>
  <si>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</si>
  <si>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</si>
  <si>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</si>
  <si>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</si>
  <si>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</si>
  <si>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</si>
  <si>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</si>
  <si>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</si>
  <si>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</si>
  <si>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</si>
  <si>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</si>
  <si>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</si>
  <si>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</si>
  <si>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</si>
  <si>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</si>
  <si>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</si>
  <si>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</si>
  <si>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</si>
  <si>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</si>
  <si>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</si>
  <si>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</si>
  <si>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</si>
  <si>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</si>
  <si>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</si>
  <si>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</si>
  <si>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</si>
  <si>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</si>
  <si>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</si>
  <si>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</si>
  <si>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</si>
  <si>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</si>
  <si>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</si>
  <si>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</si>
  <si>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</si>
  <si>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</si>
  <si>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</si>
  <si>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</si>
  <si>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</si>
  <si>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</si>
  <si>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</si>
  <si>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</si>
  <si>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</si>
  <si>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</si>
  <si>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</si>
  <si>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</si>
  <si>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</si>
  <si>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</si>
  <si>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</si>
  <si>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</si>
  <si>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</si>
  <si>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</si>
  <si>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</si>
  <si>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</si>
  <si>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</si>
  <si>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</si>
  <si>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</si>
  <si>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</si>
  <si>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</si>
  <si>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</si>
  <si>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</si>
  <si>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</si>
  <si>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</si>
  <si>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</si>
  <si>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</si>
  <si>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</si>
  <si>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</si>
  <si>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</si>
  <si>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</si>
  <si>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</si>
  <si>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</si>
  <si>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</si>
  <si>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</si>
  <si>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</si>
  <si>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</si>
  <si>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</si>
  <si>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</si>
  <si>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</si>
  <si>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</si>
  <si>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</si>
  <si>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</si>
  <si>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</si>
  <si>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</si>
  <si>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</si>
  <si>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</si>
  <si>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</si>
  <si>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</si>
  <si>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</si>
  <si>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</si>
  <si>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</si>
  <si>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</si>
  <si>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</si>
  <si>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</si>
  <si>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</si>
  <si>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</si>
  <si>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</si>
  <si>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</si>
  <si>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</si>
  <si>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</si>
  <si>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</si>
  <si>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</si>
  <si>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</si>
  <si>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</si>
  <si>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</si>
  <si>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</si>
  <si>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</si>
  <si>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</si>
  <si>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</si>
  <si>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</si>
  <si>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</si>
  <si>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</si>
  <si>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</si>
  <si>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</si>
  <si>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</si>
  <si>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</si>
  <si>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</si>
  <si>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</si>
  <si>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</si>
  <si>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</si>
  <si>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</si>
  <si>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</si>
  <si>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</si>
  <si>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</si>
  <si>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</si>
  <si>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</si>
  <si>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</si>
  <si>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</si>
  <si>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</si>
  <si>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</si>
  <si>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</si>
  <si>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</si>
  <si>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</si>
  <si>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</si>
  <si>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</si>
  <si>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</si>
  <si>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</si>
  <si>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</si>
  <si>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</si>
  <si>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</si>
  <si>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</si>
  <si>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</si>
  <si>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</si>
  <si>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</si>
  <si>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</si>
  <si>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</si>
  <si>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</si>
  <si>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</si>
  <si>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</si>
  <si>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</si>
  <si>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</si>
  <si>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</si>
  <si>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</si>
  <si>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</si>
  <si>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</si>
  <si>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</si>
  <si>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</si>
  <si>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</si>
  <si>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</si>
  <si>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</si>
  <si>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</si>
  <si>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</si>
  <si>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</si>
  <si>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</si>
  <si>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</si>
  <si>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</si>
  <si>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</si>
  <si>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</si>
  <si>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</si>
  <si>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</si>
  <si>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</si>
  <si>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</si>
  <si>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</si>
  <si>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</si>
  <si>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</si>
  <si>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</si>
  <si>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</si>
  <si>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</si>
  <si>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</si>
  <si>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</si>
  <si>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</si>
  <si>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</si>
  <si>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</si>
  <si>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</si>
  <si>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</si>
  <si>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</si>
  <si>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</si>
  <si>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</si>
  <si>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</si>
  <si>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</si>
  <si>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</si>
  <si>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</si>
  <si>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</si>
  <si>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</si>
  <si>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</si>
  <si>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</si>
  <si>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</si>
  <si>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</si>
  <si>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</si>
  <si>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</si>
  <si>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</si>
  <si>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</si>
  <si>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</si>
  <si>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</si>
  <si>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</si>
  <si>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</si>
  <si>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</si>
  <si>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</si>
  <si>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</si>
  <si>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</si>
  <si>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</si>
  <si>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</si>
  <si>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</si>
  <si>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</si>
  <si>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</si>
  <si>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</si>
  <si>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</si>
  <si>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</si>
  <si>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</si>
  <si>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</si>
  <si>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</si>
  <si>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</si>
  <si>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</si>
  <si>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</si>
  <si>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</si>
  <si>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</si>
  <si>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</si>
  <si>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</si>
  <si>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</si>
  <si>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</si>
  <si>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</si>
  <si>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</si>
  <si>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</si>
  <si>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</si>
  <si>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</si>
  <si>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</si>
  <si>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</si>
  <si>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</si>
  <si>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</si>
  <si>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</si>
  <si>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</si>
  <si>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</si>
  <si>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</si>
  <si>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</si>
  <si>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</si>
  <si>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</si>
  <si>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</si>
  <si>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</si>
  <si>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</si>
  <si>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</si>
  <si>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</si>
  <si>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</si>
  <si>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</si>
  <si>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</si>
  <si>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</si>
  <si>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</si>
  <si>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</si>
  <si>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</si>
  <si>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</si>
  <si>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</si>
  <si>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</si>
  <si>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</si>
  <si>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</si>
  <si>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</si>
  <si>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</si>
  <si>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</si>
  <si>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</si>
  <si>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</si>
  <si>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</si>
  <si>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</si>
  <si>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</si>
  <si>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</si>
  <si>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</si>
  <si>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</si>
  <si>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</si>
  <si>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</si>
  <si>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</si>
  <si>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</si>
  <si>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</si>
  <si>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</si>
  <si>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</si>
  <si>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</si>
  <si>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</si>
  <si>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</si>
  <si>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</si>
  <si>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</si>
  <si>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</si>
  <si>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</si>
  <si>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</si>
  <si>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</si>
  <si>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</si>
  <si>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</si>
  <si>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</si>
  <si>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</si>
  <si>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</si>
  <si>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</si>
  <si>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</si>
  <si>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</si>
  <si>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</si>
  <si>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</si>
  <si>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</si>
  <si>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</si>
  <si>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</si>
  <si>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</si>
  <si>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</si>
  <si>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</si>
  <si>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</si>
  <si>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</si>
  <si>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</si>
  <si>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</si>
  <si>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</si>
  <si>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</si>
  <si>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</si>
  <si>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</si>
  <si>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</si>
  <si>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</si>
  <si>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</si>
  <si>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</si>
  <si>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</si>
  <si>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</si>
  <si>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</si>
  <si>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</si>
  <si>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</si>
  <si>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</si>
  <si>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</si>
  <si>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</si>
  <si>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</si>
  <si>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</si>
  <si>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</si>
  <si>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</si>
  <si>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</si>
  <si>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</si>
  <si>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</si>
  <si>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</si>
  <si>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</si>
  <si>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</si>
  <si>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</si>
  <si>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</si>
  <si>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</si>
  <si>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</si>
  <si>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</si>
  <si>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</si>
  <si>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</si>
  <si>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</si>
  <si>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</si>
  <si>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</si>
  <si>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</si>
  <si>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</si>
  <si>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</si>
  <si>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</si>
  <si>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</si>
  <si>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</si>
  <si>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</si>
  <si>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</si>
  <si>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</si>
  <si>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</si>
  <si>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</si>
  <si>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</si>
  <si>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</si>
  <si>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</si>
  <si>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</si>
  <si>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</si>
  <si>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</si>
  <si>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</si>
  <si>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</si>
  <si>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</si>
  <si>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</si>
  <si>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</si>
  <si>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</si>
  <si>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</si>
  <si>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</si>
  <si>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</si>
  <si>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</si>
  <si>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</si>
  <si>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</si>
  <si>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</si>
  <si>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</si>
  <si>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</si>
  <si>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</si>
  <si>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</si>
  <si>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</si>
  <si>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</si>
  <si>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</si>
  <si>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</si>
  <si>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</si>
  <si>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</si>
  <si>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</si>
  <si>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</si>
  <si>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</si>
  <si>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</si>
  <si>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</si>
  <si>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</si>
  <si>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</si>
  <si>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</si>
  <si>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</si>
  <si>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</si>
  <si>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</si>
  <si>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</si>
  <si>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</si>
  <si>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</si>
  <si>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</si>
  <si>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</si>
  <si>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</si>
  <si>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</si>
  <si>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</si>
  <si>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</si>
  <si>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</si>
  <si>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</si>
  <si>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</si>
  <si>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</si>
  <si>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</si>
  <si>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</si>
  <si>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</si>
  <si>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</si>
  <si>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</si>
  <si>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</si>
  <si>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</si>
  <si>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</si>
  <si>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</si>
  <si>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</si>
  <si>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</si>
  <si>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</si>
  <si>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</si>
  <si>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</si>
  <si>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</si>
  <si>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</si>
  <si>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</si>
  <si>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</si>
  <si>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</si>
  <si>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</si>
  <si>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</si>
  <si>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</si>
  <si>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</si>
  <si>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</si>
  <si>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</si>
  <si>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</si>
  <si>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</si>
  <si>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</si>
  <si>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</si>
  <si>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</si>
  <si>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</si>
  <si>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</si>
  <si>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</si>
  <si>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</si>
  <si>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</si>
  <si>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</si>
  <si>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</si>
  <si>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</si>
  <si>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</si>
  <si>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</si>
  <si>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</si>
  <si>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</si>
  <si>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</si>
  <si>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</si>
  <si>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</si>
  <si>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</si>
  <si>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</si>
  <si>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</si>
  <si>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</si>
  <si>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</si>
  <si>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</si>
  <si>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</si>
  <si>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</si>
  <si>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</si>
  <si>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</si>
  <si>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</si>
  <si>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</si>
  <si>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</si>
  <si>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</si>
  <si>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</si>
  <si>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</si>
  <si>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</si>
  <si>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</si>
  <si>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</si>
  <si>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</si>
  <si>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</si>
  <si>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</si>
  <si>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</si>
  <si>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</si>
  <si>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</si>
  <si>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</si>
  <si>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</si>
  <si>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</si>
  <si>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</si>
  <si>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</si>
  <si>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</si>
  <si>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</si>
  <si>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</si>
  <si>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</si>
  <si>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</si>
  <si>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</si>
  <si>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</si>
  <si>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</si>
  <si>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</si>
  <si>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</si>
  <si>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</si>
  <si>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</si>
  <si>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</si>
  <si>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</si>
  <si>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</si>
  <si>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</si>
  <si>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</si>
  <si>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</si>
  <si>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</si>
  <si>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</si>
  <si>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</si>
  <si>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</si>
  <si>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</si>
  <si>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</si>
  <si>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</si>
  <si>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</si>
  <si>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</si>
  <si>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</si>
  <si>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</si>
  <si>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</si>
  <si>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</si>
  <si>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</si>
  <si>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</si>
  <si>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</si>
  <si>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</si>
  <si>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</si>
  <si>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</si>
  <si>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</si>
  <si>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</si>
  <si>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</si>
  <si>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</si>
  <si>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</si>
  <si>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</si>
  <si>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</si>
  <si>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</si>
  <si>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</si>
  <si>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</si>
  <si>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</si>
  <si>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</si>
  <si>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</si>
  <si>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</si>
  <si>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</si>
  <si>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</si>
  <si>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</si>
  <si>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</si>
  <si>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</si>
  <si>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</si>
  <si>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</si>
  <si>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</si>
  <si>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</si>
  <si>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</si>
  <si>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</si>
  <si>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</si>
  <si>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</si>
  <si>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</si>
  <si>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</si>
  <si>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</si>
  <si>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</si>
  <si>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</si>
  <si>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</si>
  <si>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</si>
  <si>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</si>
  <si>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</si>
  <si>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</si>
  <si>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</si>
  <si>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</si>
  <si>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</si>
  <si>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</si>
  <si>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</si>
  <si>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</si>
  <si>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</si>
  <si>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</si>
  <si>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</si>
  <si>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</si>
  <si>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</si>
  <si>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</si>
  <si>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</si>
  <si>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</si>
  <si>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</si>
  <si>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</si>
  <si>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</si>
  <si>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</si>
  <si>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</si>
  <si>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</si>
  <si>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</si>
  <si>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</si>
  <si>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</si>
  <si>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</si>
  <si>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</si>
  <si>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</si>
  <si>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</si>
  <si>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</si>
  <si>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</si>
  <si>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</si>
  <si>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</si>
  <si>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</si>
  <si>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</si>
  <si>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</si>
  <si>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</si>
  <si>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</si>
  <si>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</si>
  <si>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</si>
  <si>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</si>
  <si>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</si>
  <si>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</si>
  <si>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</si>
  <si>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</si>
  <si>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</si>
  <si>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</si>
  <si>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</si>
  <si>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</si>
  <si>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</si>
  <si>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</si>
  <si>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</si>
  <si>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</si>
  <si>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</si>
  <si>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</si>
  <si>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</si>
  <si>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</si>
  <si>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</si>
  <si>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</si>
  <si>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</si>
  <si>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</si>
  <si>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</si>
  <si>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</si>
  <si>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</si>
  <si>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</si>
  <si>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</si>
  <si>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</si>
  <si>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</si>
  <si>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</si>
  <si>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</si>
  <si>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</si>
  <si>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</si>
  <si>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</si>
  <si>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</si>
  <si>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</si>
  <si>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</si>
  <si>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</si>
  <si>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</si>
  <si>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</si>
  <si>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</si>
  <si>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</si>
  <si>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</si>
  <si>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</si>
  <si>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</si>
  <si>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</si>
  <si>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</si>
  <si>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</si>
  <si>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</si>
  <si>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</si>
  <si>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</si>
  <si>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</si>
  <si>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</si>
  <si>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</si>
  <si>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</si>
  <si>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</si>
  <si>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</si>
  <si>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</si>
  <si>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</si>
  <si>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</si>
  <si>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</si>
  <si>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</si>
  <si>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</si>
  <si>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</si>
  <si>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</si>
  <si>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</si>
  <si>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</si>
  <si>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</si>
  <si>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</si>
  <si>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</si>
  <si>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</si>
  <si>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</si>
  <si>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</si>
  <si>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</si>
  <si>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</si>
  <si>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</si>
  <si>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</si>
  <si>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</si>
  <si>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</si>
  <si>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</si>
  <si>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</si>
  <si>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</si>
  <si>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</si>
  <si>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</si>
  <si>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</si>
  <si>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</si>
  <si>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</si>
  <si>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</si>
  <si>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</si>
  <si>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</si>
  <si>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</si>
  <si>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</si>
  <si>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</si>
  <si>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</si>
  <si>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</si>
  <si>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</si>
  <si>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</si>
  <si>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</si>
  <si>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</si>
  <si>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</si>
  <si>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</si>
  <si>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</si>
  <si>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</si>
  <si>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</si>
  <si>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</si>
  <si>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</si>
  <si>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</si>
  <si>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</si>
  <si>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</si>
  <si>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</si>
  <si>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</si>
  <si>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</si>
  <si>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</si>
  <si>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</si>
  <si>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</si>
  <si>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</si>
  <si>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</si>
  <si>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</si>
  <si>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</si>
  <si>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</si>
  <si>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</si>
  <si>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</si>
  <si>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</si>
  <si>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</si>
  <si>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</si>
  <si>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</si>
  <si>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</si>
  <si>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</si>
  <si>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</si>
  <si>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</si>
  <si>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</si>
  <si>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</si>
  <si>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</si>
  <si>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</si>
  <si>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</si>
  <si>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</si>
  <si>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</si>
  <si>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</si>
  <si>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</si>
  <si>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</si>
  <si>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</si>
  <si>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</si>
  <si>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</si>
  <si>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</si>
  <si>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</si>
  <si>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</si>
  <si>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</si>
  <si>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</si>
  <si>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</si>
  <si>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</si>
  <si>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</si>
  <si>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</si>
  <si>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</si>
  <si>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</si>
  <si>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</si>
  <si>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</si>
  <si>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</si>
  <si>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</si>
  <si>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</si>
  <si>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</si>
  <si>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</si>
  <si>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</si>
  <si>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</si>
  <si>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</si>
  <si>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</si>
  <si>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</si>
  <si>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</si>
  <si>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</si>
  <si>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</si>
  <si>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</si>
  <si>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</si>
  <si>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</si>
  <si>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</si>
  <si>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</si>
  <si>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</si>
  <si>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</si>
  <si>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</si>
  <si>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</si>
  <si>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</si>
  <si>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</si>
  <si>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</si>
  <si>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</si>
  <si>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</si>
  <si>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</si>
  <si>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</si>
  <si>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</si>
  <si>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</si>
  <si>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</si>
  <si>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</si>
  <si>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</si>
  <si>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</si>
  <si>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</si>
  <si>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</si>
  <si>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</si>
  <si>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</si>
  <si>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</si>
  <si>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</si>
  <si>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</si>
  <si>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</si>
  <si>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</si>
  <si>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</si>
  <si>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</si>
  <si>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</si>
  <si>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</si>
  <si>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</si>
  <si>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</si>
  <si>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</si>
  <si>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</si>
  <si>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</si>
  <si>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</si>
  <si>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</si>
  <si>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</si>
  <si>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</si>
  <si>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</si>
  <si>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</si>
  <si>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</si>
  <si>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</si>
  <si>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</si>
  <si>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</si>
  <si>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</si>
  <si>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</si>
  <si>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</si>
  <si>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</si>
  <si>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</si>
  <si>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</si>
  <si>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</si>
  <si>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</si>
  <si>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</si>
  <si>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</si>
  <si>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</si>
  <si>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</si>
  <si>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</si>
  <si>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</si>
  <si>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</si>
  <si>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</si>
  <si>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</si>
  <si>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</si>
  <si>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</si>
  <si>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</si>
  <si>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</si>
  <si>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</si>
  <si>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</si>
  <si>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</si>
  <si>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</si>
  <si>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</si>
  <si>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</si>
  <si>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</si>
  <si>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</si>
  <si>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</si>
  <si>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</si>
  <si>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</si>
  <si>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</si>
  <si>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</si>
  <si>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</si>
  <si>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</si>
  <si>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</si>
  <si>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</si>
  <si>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</si>
  <si>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</si>
  <si>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</si>
  <si>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</si>
  <si>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</si>
  <si>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</si>
  <si>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</si>
  <si>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</si>
  <si>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</si>
  <si>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</si>
  <si>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</si>
  <si>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</si>
  <si>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</si>
  <si>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</si>
  <si>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</si>
  <si>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</si>
  <si>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</si>
  <si>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</si>
  <si>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</si>
  <si>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</si>
  <si>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</si>
  <si>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</si>
  <si>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</si>
  <si>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</si>
  <si>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</si>
  <si>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</si>
  <si>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</si>
  <si>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</si>
  <si>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</si>
  <si>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</si>
  <si>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</si>
  <si>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</si>
  <si>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</si>
  <si>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</si>
  <si>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</si>
  <si>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</si>
  <si>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</si>
  <si>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</si>
  <si>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</si>
  <si>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</si>
  <si>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</si>
  <si>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</si>
  <si>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</si>
  <si>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</si>
  <si>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</si>
  <si>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</si>
  <si>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</si>
  <si>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</si>
  <si>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</si>
  <si>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</si>
  <si>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</si>
  <si>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</si>
  <si>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</si>
  <si>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</si>
  <si>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</si>
  <si>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</si>
  <si>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</si>
  <si>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</si>
  <si>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</si>
  <si>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</si>
  <si>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</si>
  <si>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</si>
  <si>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</si>
  <si>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</si>
  <si>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</si>
  <si>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</si>
  <si>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</si>
  <si>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</si>
  <si>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</si>
  <si>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</si>
  <si>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</si>
  <si>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</si>
  <si>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</si>
  <si>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</si>
  <si>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</si>
  <si>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</si>
  <si>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</si>
  <si>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</si>
  <si>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</si>
  <si>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</si>
  <si>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</si>
  <si>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</si>
  <si>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</si>
  <si>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</si>
  <si>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</si>
  <si>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</si>
  <si>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</si>
  <si>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</si>
  <si>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</si>
  <si>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</si>
  <si>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</si>
  <si>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</si>
  <si>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</si>
  <si>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</si>
  <si>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</si>
  <si>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</si>
  <si>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</si>
  <si>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</si>
  <si>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</si>
  <si>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</si>
  <si>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</si>
  <si>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</si>
  <si>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</si>
  <si>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</si>
  <si>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</si>
  <si>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</si>
  <si>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</si>
  <si>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</si>
  <si>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</si>
  <si>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</si>
  <si>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</si>
  <si>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</si>
  <si>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</si>
  <si>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</si>
  <si>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</si>
  <si>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</si>
  <si>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</si>
  <si>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</si>
  <si>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</si>
  <si>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</si>
  <si>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</si>
  <si>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</si>
  <si>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</si>
  <si>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</si>
  <si>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</si>
  <si>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</si>
  <si>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</si>
  <si>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</si>
  <si>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</si>
  <si>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</si>
  <si>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</si>
  <si>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</si>
  <si>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</si>
  <si>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</si>
  <si>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</si>
  <si>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</si>
  <si>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</si>
  <si>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</si>
  <si>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</si>
  <si>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</si>
  <si>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</si>
  <si>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</si>
  <si>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</si>
  <si>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</si>
  <si>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</si>
  <si>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</si>
  <si>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</si>
  <si>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</si>
  <si>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</si>
  <si>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</si>
  <si>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</si>
  <si>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</si>
  <si>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</si>
  <si>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</si>
  <si>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</si>
  <si>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</si>
  <si>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</si>
  <si>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</si>
  <si>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</si>
  <si>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</si>
  <si>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</si>
  <si>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</si>
  <si>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</si>
  <si>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</si>
  <si>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</si>
  <si>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</si>
  <si>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</si>
  <si>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</si>
  <si>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</si>
  <si>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</si>
  <si>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</si>
  <si>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</si>
  <si>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</si>
  <si>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</si>
  <si>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</si>
  <si>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</si>
  <si>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</si>
  <si>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</si>
  <si>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</si>
  <si>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</si>
  <si>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</si>
  <si>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</si>
  <si>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</si>
  <si>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</si>
  <si>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</si>
  <si>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</si>
  <si>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</si>
  <si>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</si>
  <si>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</si>
  <si>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</si>
  <si>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</si>
  <si>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</si>
  <si>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</si>
  <si>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</si>
  <si>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</si>
  <si>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</si>
  <si>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</si>
  <si>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</si>
  <si>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</si>
  <si>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</si>
  <si>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</si>
  <si>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</si>
  <si>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</si>
  <si>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</si>
  <si>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</si>
  <si>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</si>
  <si>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</si>
  <si>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</si>
  <si>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</si>
  <si>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</si>
  <si>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</si>
  <si>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</si>
  <si>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</si>
  <si>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</si>
  <si>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</si>
  <si>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</si>
  <si>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</si>
  <si>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</si>
  <si>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</si>
  <si>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</si>
  <si>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</si>
  <si>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</si>
  <si>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</si>
  <si>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</si>
  <si>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</si>
  <si>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</si>
  <si>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</si>
  <si>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</si>
  <si>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</si>
  <si>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</si>
  <si>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</si>
  <si>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</si>
  <si>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</si>
  <si>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</si>
  <si>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</si>
  <si>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</si>
  <si>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</si>
  <si>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</si>
  <si>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</si>
  <si>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</si>
  <si>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</si>
  <si>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</si>
  <si>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</si>
  <si>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</si>
  <si>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</si>
  <si>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</si>
  <si>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</si>
  <si>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</si>
  <si>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</si>
  <si>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</si>
  <si>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</si>
  <si>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</si>
  <si>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</si>
  <si>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</si>
  <si>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</si>
  <si>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</si>
  <si>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</si>
  <si>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</si>
  <si>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</si>
  <si>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</si>
  <si>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</si>
  <si>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</si>
  <si>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</si>
  <si>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</si>
  <si>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</si>
  <si>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</si>
  <si>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</si>
  <si>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</si>
  <si>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</si>
  <si>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</si>
  <si>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</si>
  <si>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</si>
  <si>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</si>
  <si>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</si>
  <si>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</si>
  <si>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</si>
  <si>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</si>
  <si>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</si>
  <si>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</si>
  <si>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</si>
  <si>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</si>
  <si>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</si>
  <si>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</si>
  <si>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</si>
  <si>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</si>
  <si>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</si>
  <si>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</si>
  <si>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</si>
  <si>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</si>
  <si>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</si>
  <si>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</si>
  <si>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</si>
  <si>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</si>
  <si>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</si>
  <si>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</si>
  <si>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</si>
  <si>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</si>
  <si>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</si>
  <si>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</si>
  <si>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</si>
  <si>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</si>
  <si>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</si>
  <si>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</si>
  <si>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</si>
  <si>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</si>
  <si>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</si>
  <si>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</si>
  <si>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</si>
  <si>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</si>
  <si>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</si>
  <si>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</si>
  <si>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</si>
  <si>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</si>
  <si>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</si>
  <si>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</si>
  <si>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</si>
  <si>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</si>
  <si>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</si>
  <si>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</si>
  <si>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</si>
  <si>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</si>
  <si>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</si>
  <si>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</si>
  <si>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</si>
  <si>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</si>
  <si>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</si>
  <si>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</si>
  <si>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</si>
  <si>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</si>
  <si>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</si>
  <si>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</si>
  <si>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</si>
  <si>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</si>
  <si>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</si>
  <si>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</si>
  <si>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</si>
  <si>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</si>
  <si>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</si>
  <si>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</si>
  <si>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</si>
  <si>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</si>
  <si>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</si>
  <si>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</si>
  <si>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</si>
  <si>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</si>
  <si>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</si>
  <si>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</si>
  <si>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</si>
  <si>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</si>
  <si>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</si>
  <si>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</si>
  <si>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</si>
  <si>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</si>
  <si>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</si>
  <si>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</si>
  <si>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</si>
  <si>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</si>
  <si>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</si>
  <si>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</si>
  <si>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</si>
  <si>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</si>
  <si>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</si>
  <si>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</si>
  <si>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</si>
  <si>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</si>
  <si>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</si>
  <si>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</si>
  <si>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</si>
  <si>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</si>
  <si>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</si>
  <si>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</si>
  <si>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</si>
  <si>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</si>
  <si>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</si>
  <si>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</si>
  <si>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</si>
  <si>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</si>
  <si>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</si>
  <si>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</si>
  <si>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</si>
  <si>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</si>
  <si>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</si>
  <si>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</si>
  <si>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</si>
  <si>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</si>
  <si>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</si>
  <si>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</si>
  <si>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</si>
  <si>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</si>
  <si>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</si>
  <si>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</si>
  <si>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</si>
  <si>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</si>
  <si>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</si>
  <si>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</si>
  <si>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</si>
  <si>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</si>
  <si>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</si>
  <si>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</si>
  <si>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</si>
  <si>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</si>
  <si>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</si>
  <si>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</si>
  <si>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</si>
  <si>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</si>
  <si>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</si>
  <si>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</si>
  <si>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</si>
  <si>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</si>
  <si>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</si>
  <si>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</si>
  <si>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</si>
  <si>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</si>
  <si>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</si>
  <si>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</si>
  <si>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</si>
  <si>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</si>
  <si>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</si>
  <si>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</si>
  <si>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</si>
  <si>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</si>
  <si>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</si>
  <si>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</si>
  <si>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</si>
  <si>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</si>
  <si>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</si>
  <si>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</si>
  <si>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</si>
  <si>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</si>
  <si>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</si>
  <si>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</si>
  <si>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</si>
  <si>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</si>
  <si>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</si>
  <si>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</si>
  <si>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</si>
  <si>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</si>
  <si>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</si>
  <si>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</si>
  <si>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</si>
  <si>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</si>
  <si>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</si>
  <si>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</si>
  <si>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</si>
  <si>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</si>
  <si>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</si>
  <si>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</si>
  <si>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</si>
  <si>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</si>
  <si>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</si>
  <si>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</si>
  <si>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</si>
  <si>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</si>
  <si>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</si>
  <si>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</si>
  <si>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</si>
  <si>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</si>
  <si>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</si>
  <si>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</si>
  <si>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</si>
  <si>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</si>
  <si>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</si>
  <si>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</si>
  <si>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</si>
  <si>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</si>
  <si>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</si>
  <si>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</si>
  <si>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</si>
  <si>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</si>
  <si>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</si>
  <si>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</si>
  <si>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</si>
  <si>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</si>
  <si>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</si>
  <si>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</si>
  <si>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</si>
  <si>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</si>
  <si>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</si>
  <si>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</si>
  <si>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</si>
  <si>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</si>
  <si>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</si>
  <si>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</si>
  <si>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</si>
  <si>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</si>
  <si>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</si>
  <si>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</si>
  <si>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</si>
  <si>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</si>
  <si>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</si>
  <si>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</si>
  <si>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</si>
  <si>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</si>
  <si>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</si>
  <si>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</si>
  <si>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</si>
  <si>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</si>
  <si>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</si>
  <si>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</si>
  <si>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</si>
  <si>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</si>
  <si>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</si>
  <si>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</si>
  <si>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</si>
  <si>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</si>
  <si>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</si>
  <si>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</si>
  <si>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</si>
  <si>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</si>
  <si>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</si>
  <si>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</si>
  <si>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</si>
  <si>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</si>
  <si>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</si>
  <si>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</si>
  <si>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</si>
  <si>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 xml:space="preserve">2800 Olympic Parkway </t>
  </si>
  <si>
    <t xml:space="preserve">Chula Vista </t>
  </si>
  <si>
    <t xml:space="preserve">City of Chula Vista </t>
  </si>
  <si>
    <t>Maria Kachadoorian</t>
  </si>
  <si>
    <t>276 Fourth Avenue</t>
  </si>
  <si>
    <t>619-691-5031</t>
  </si>
  <si>
    <t>619-409-5884</t>
  </si>
  <si>
    <t>mkachadoorian@chulavistaca.gov</t>
  </si>
  <si>
    <t>, 2023 at</t>
  </si>
  <si>
    <t xml:space="preserve">August </t>
  </si>
  <si>
    <t xml:space="preserve">Vintage Housing Holdings, LLC </t>
  </si>
  <si>
    <t>Sabelhaus and Strain, LLP</t>
  </si>
  <si>
    <t>1724 10th Street, Suite 110</t>
  </si>
  <si>
    <t>CA</t>
  </si>
  <si>
    <t>Steve Strain</t>
  </si>
  <si>
    <t>(916) 444-0286</t>
  </si>
  <si>
    <t>sstrain@sabelhauslaw.com</t>
  </si>
  <si>
    <t>Attorney / Consultant</t>
  </si>
  <si>
    <t xml:space="preserve">Vintage Housing Development, Inc. </t>
  </si>
  <si>
    <t>369 San Miguel Drive, Suite 135</t>
  </si>
  <si>
    <t>Newport Beach, CA 92660</t>
  </si>
  <si>
    <t>Michael Gancar</t>
  </si>
  <si>
    <t>(949) 721-6775</t>
  </si>
  <si>
    <t>mgancar@Vintagehousing.com</t>
  </si>
  <si>
    <t xml:space="preserve">STK :a, Inc. </t>
  </si>
  <si>
    <t>20 Corporate Park, Suite 190</t>
  </si>
  <si>
    <t>Irvine, CA 92606</t>
  </si>
  <si>
    <t>Soong Tomas Kim</t>
  </si>
  <si>
    <t>skim@stkarch.com</t>
  </si>
  <si>
    <t>Sacramento, CA 95811</t>
  </si>
  <si>
    <t>(916) 444-3408</t>
  </si>
  <si>
    <t>FPI Property Management</t>
  </si>
  <si>
    <t>800 Iron Point Road</t>
  </si>
  <si>
    <t>Folsom, CA 95630</t>
  </si>
  <si>
    <t>Dennis Treadaway</t>
  </si>
  <si>
    <t>(916) 357-5300</t>
  </si>
  <si>
    <t>(916) 357-5310</t>
  </si>
  <si>
    <t>dennis.treadaway@fpimgt.com</t>
  </si>
  <si>
    <t>Newport Beach</t>
  </si>
  <si>
    <t>Hearthstone CA Properties V, LLC</t>
  </si>
  <si>
    <t>1401 Dove Street, Suite 620</t>
  </si>
  <si>
    <t xml:space="preserve">Newport Beach </t>
  </si>
  <si>
    <t>Socorro Vazquez</t>
  </si>
  <si>
    <t>(949) 553-9447</t>
  </si>
  <si>
    <t>coco@hearthstonehousing.org</t>
  </si>
  <si>
    <t>Hearthstone Housing Foundation</t>
  </si>
  <si>
    <t>To-be-formed LLC</t>
  </si>
  <si>
    <t>Vintage Housing Holdings, LLC</t>
  </si>
  <si>
    <t>Socorro Vasquez</t>
  </si>
  <si>
    <t>President of Hearthstone Housing Foundation</t>
  </si>
  <si>
    <t>Bernard E. Rea, CPA</t>
  </si>
  <si>
    <t>P.O. Box 492</t>
  </si>
  <si>
    <t>Aubrey, TX 76227</t>
  </si>
  <si>
    <t>Bernie Rea</t>
  </si>
  <si>
    <t>BReaCPA@aol.com</t>
  </si>
  <si>
    <t>California Municipal Finance Authority</t>
  </si>
  <si>
    <t>2111 Palomar Airport Rd, Ste. 320</t>
  </si>
  <si>
    <t>Carlsbad, CA 92011</t>
  </si>
  <si>
    <t>Anthony Stubbs</t>
  </si>
  <si>
    <t>760-930-1333</t>
  </si>
  <si>
    <t>astubbs@cmfa-ca.com</t>
  </si>
  <si>
    <t>325 East Hillcrest Drive</t>
  </si>
  <si>
    <t>Thousand Oaks</t>
  </si>
  <si>
    <t>Mike Hemmens</t>
  </si>
  <si>
    <t>Not Applicable</t>
  </si>
  <si>
    <t>Provided</t>
  </si>
  <si>
    <t xml:space="preserve">Net Operating Income </t>
  </si>
  <si>
    <t xml:space="preserve">OTC by Vintage </t>
  </si>
  <si>
    <t>Other: Bond Counsel</t>
  </si>
  <si>
    <t>Office</t>
  </si>
  <si>
    <t>Taxes/ Benefits</t>
  </si>
  <si>
    <t>Supplies</t>
  </si>
  <si>
    <t xml:space="preserve">Tax-Exempt Construction Loan </t>
  </si>
  <si>
    <t>Citibank, N.A.</t>
  </si>
  <si>
    <t>Aegon Realty Advisors</t>
  </si>
  <si>
    <t>Recycled Bond Construction Loan</t>
  </si>
  <si>
    <t>Taxable Construction Loan</t>
  </si>
  <si>
    <t>500 Sansome Street, Suite 1700</t>
  </si>
  <si>
    <t>Karen Panariello</t>
  </si>
  <si>
    <t>LIHTC Investor Equity</t>
  </si>
  <si>
    <t xml:space="preserve">Deferred Reserves </t>
  </si>
  <si>
    <t>Citibank, N.A</t>
  </si>
  <si>
    <t xml:space="preserve">Tax-Exempt Bond Perm Loan </t>
  </si>
  <si>
    <t>Recycled Bonds</t>
  </si>
  <si>
    <t>Cable and Storage Units (Residential)</t>
  </si>
  <si>
    <t>Managing GP</t>
  </si>
  <si>
    <t>Administrative GP</t>
  </si>
  <si>
    <t>Aegon USA Realty Advisors, LLC</t>
  </si>
  <si>
    <t>505 Sansome Street, Suite 1700</t>
  </si>
  <si>
    <t>San Francisco, CA 94111</t>
  </si>
  <si>
    <t>kpanariello@aegonam.com</t>
  </si>
  <si>
    <t>Novogradac</t>
  </si>
  <si>
    <t>11044 Research Blvd., Bldg. C, Ste. 400</t>
  </si>
  <si>
    <t>Austin, Texas 78759</t>
  </si>
  <si>
    <t>Eric Johnson</t>
  </si>
  <si>
    <t>562-256-3574</t>
  </si>
  <si>
    <t>erik.johnson@novo.com</t>
  </si>
  <si>
    <t>Brad Weinberg, MAI, CVA, CRE</t>
  </si>
  <si>
    <t>brad.weinberg@novo.com</t>
  </si>
  <si>
    <t>Other (Specify below)</t>
  </si>
  <si>
    <t>Family</t>
  </si>
  <si>
    <t>1 space per unit</t>
  </si>
  <si>
    <t>243 spaces</t>
  </si>
  <si>
    <t xml:space="preserve">PC - Planned Community Zone </t>
  </si>
  <si>
    <t xml:space="preserve">PQ - Public and Quasi-Public </t>
  </si>
  <si>
    <t>50 feet</t>
  </si>
  <si>
    <t xml:space="preserve">owner paid utilities </t>
  </si>
  <si>
    <t>portion of 6430402600 and 6430402700</t>
  </si>
  <si>
    <t>City of Chula Vista</t>
  </si>
  <si>
    <t>Eric C. Crockett</t>
  </si>
  <si>
    <t>Deputy City Manager</t>
  </si>
  <si>
    <t>276 4th Avenue, Chula Vista, CA 91910</t>
  </si>
  <si>
    <t>Secured by Leasehold Interest</t>
  </si>
  <si>
    <t>Fixed</t>
  </si>
  <si>
    <t>Vintage Housing Development, Inc.</t>
  </si>
  <si>
    <t>40%/60%</t>
  </si>
  <si>
    <t>Ground Lease Rent</t>
  </si>
  <si>
    <t>MGP Management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</si>
</sst>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17164">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6"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4"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3"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5">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1" fontId="22" fillId="0" borderId="0" xfId="0" applyNumberFormat="1" applyFont="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62" xfId="4495" applyFont="1"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5"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4"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4"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5"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4"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43" fontId="20" fillId="0" borderId="0" xfId="4504" applyFont="1" applyProtection="1"/>
    <xf numFmtId="0" fontId="20" fillId="0" borderId="0" xfId="569" applyFont="1" applyAlignment="1">
      <alignment vertical="center"/>
    </xf>
    <xf numFmtId="49" fontId="20" fillId="0" borderId="0" xfId="569" applyNumberFormat="1" applyFont="1"/>
    <xf numFmtId="4" fontId="20" fillId="0" borderId="0" xfId="569" applyNumberFormat="1" applyFont="1"/>
    <xf numFmtId="0" fontId="20" fillId="0" borderId="0" xfId="1192" applyFont="1" applyAlignment="1">
      <alignment horizontal="left" vertical="top" wrapText="1"/>
    </xf>
    <xf numFmtId="0" fontId="20" fillId="0" borderId="0" xfId="569" quotePrefix="1" applyFont="1"/>
    <xf numFmtId="0" fontId="13" fillId="0" borderId="16" xfId="569" applyBorder="1"/>
    <xf numFmtId="0" fontId="20" fillId="0" borderId="16" xfId="569" applyFont="1" applyBorder="1"/>
    <xf numFmtId="0" fontId="13" fillId="0" borderId="4" xfId="569" applyBorder="1"/>
    <xf numFmtId="0" fontId="20" fillId="0" borderId="4" xfId="569" applyFont="1" applyBorder="1"/>
    <xf numFmtId="49" fontId="13" fillId="0" borderId="4" xfId="569" applyNumberFormat="1" applyBorder="1"/>
    <xf numFmtId="49" fontId="20" fillId="0" borderId="4" xfId="569" applyNumberFormat="1" applyFont="1" applyBorder="1"/>
    <xf numFmtId="0" fontId="160"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2" xfId="4496" applyFont="1" applyBorder="1" applyAlignment="1">
      <alignment horizontal="center" vertical="top" wrapText="1"/>
    </xf>
    <xf numFmtId="0" fontId="134" fillId="0" borderId="72" xfId="4496" applyFont="1" applyBorder="1" applyAlignment="1">
      <alignment horizontal="center"/>
    </xf>
    <xf numFmtId="0" fontId="165"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7" xfId="4496" applyFont="1" applyBorder="1" applyAlignment="1">
      <alignment vertical="center"/>
    </xf>
    <xf numFmtId="0" fontId="95" fillId="0" borderId="41" xfId="4496" applyFont="1" applyBorder="1" applyAlignment="1">
      <alignment vertical="center"/>
    </xf>
    <xf numFmtId="182" fontId="95" fillId="0" borderId="87"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6"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2" xfId="8722" applyNumberFormat="1" applyFont="1" applyBorder="1" applyProtection="1"/>
    <xf numFmtId="9" fontId="95" fillId="0" borderId="15" xfId="4494" applyFont="1" applyFill="1" applyBorder="1" applyAlignment="1" applyProtection="1">
      <alignment horizontal="right"/>
    </xf>
    <xf numFmtId="182" fontId="134" fillId="0" borderId="72" xfId="4496" applyNumberFormat="1" applyFont="1" applyBorder="1"/>
    <xf numFmtId="0" fontId="165"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1" xfId="4496" applyFont="1" applyBorder="1" applyAlignment="1">
      <alignment horizontal="right" indent="1"/>
    </xf>
    <xf numFmtId="0" fontId="95" fillId="0" borderId="81" xfId="4496" applyFont="1" applyBorder="1" applyAlignment="1">
      <alignment horizontal="right" indent="1"/>
    </xf>
    <xf numFmtId="0" fontId="95" fillId="0" borderId="81" xfId="4496" quotePrefix="1" applyFont="1" applyBorder="1" applyAlignment="1">
      <alignment horizontal="right" indent="1"/>
    </xf>
    <xf numFmtId="0" fontId="95" fillId="0" borderId="73" xfId="4496" applyFont="1" applyBorder="1" applyAlignment="1">
      <alignment horizontal="right" indent="1"/>
    </xf>
    <xf numFmtId="182" fontId="95" fillId="0" borderId="75" xfId="4496" applyNumberFormat="1" applyFont="1" applyBorder="1"/>
    <xf numFmtId="182" fontId="95" fillId="0" borderId="92" xfId="4496" applyNumberFormat="1" applyFont="1" applyBorder="1"/>
    <xf numFmtId="182" fontId="95" fillId="0" borderId="94"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2"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4"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7" fillId="0" borderId="0" xfId="0" applyFont="1"/>
    <xf numFmtId="0" fontId="18"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2" fillId="0" borderId="0" xfId="8723"/>
    <xf numFmtId="0" fontId="100" fillId="0" borderId="0" xfId="8723" applyFont="1"/>
    <xf numFmtId="0" fontId="2" fillId="48" borderId="67" xfId="8723" applyFill="1" applyBorder="1"/>
    <xf numFmtId="0" fontId="2" fillId="48" borderId="0" xfId="8723" applyFill="1"/>
    <xf numFmtId="0" fontId="99" fillId="48" borderId="41" xfId="8723" applyFont="1" applyFill="1" applyBorder="1" applyAlignment="1">
      <alignment horizontal="center"/>
    </xf>
    <xf numFmtId="0" fontId="99" fillId="48" borderId="0" xfId="8723" applyFont="1" applyFill="1"/>
    <xf numFmtId="182" fontId="163" fillId="48" borderId="0" xfId="8724" applyNumberFormat="1" applyFont="1" applyFill="1" applyBorder="1" applyAlignment="1"/>
    <xf numFmtId="182" fontId="100" fillId="48" borderId="0" xfId="8724" applyNumberFormat="1" applyFont="1" applyFill="1" applyBorder="1" applyAlignment="1"/>
    <xf numFmtId="182" fontId="145" fillId="48" borderId="0" xfId="8724" applyNumberFormat="1" applyFont="1" applyFill="1" applyBorder="1" applyAlignment="1"/>
    <xf numFmtId="0" fontId="2" fillId="48" borderId="41" xfId="8723" applyFill="1" applyBorder="1"/>
    <xf numFmtId="0" fontId="100" fillId="48" borderId="0" xfId="8723" applyFont="1" applyFill="1"/>
    <xf numFmtId="0" fontId="149" fillId="48" borderId="0" xfId="8723" applyFont="1" applyFill="1"/>
    <xf numFmtId="0" fontId="99" fillId="48" borderId="41" xfId="8723" applyFont="1" applyFill="1" applyBorder="1"/>
    <xf numFmtId="0" fontId="99" fillId="0" borderId="0" xfId="8723" applyFont="1"/>
    <xf numFmtId="0" fontId="99" fillId="50" borderId="102" xfId="8723" applyFont="1" applyFill="1" applyBorder="1"/>
    <xf numFmtId="0" fontId="2" fillId="51" borderId="103" xfId="8723" applyFill="1" applyBorder="1"/>
    <xf numFmtId="0" fontId="2" fillId="52" borderId="103" xfId="8723" applyFill="1" applyBorder="1"/>
    <xf numFmtId="0" fontId="99" fillId="44" borderId="0" xfId="8723" applyFont="1" applyFill="1"/>
    <xf numFmtId="0" fontId="2" fillId="44" borderId="0" xfId="8723" applyFill="1"/>
    <xf numFmtId="0" fontId="151" fillId="48" borderId="0" xfId="8723" applyFont="1" applyFill="1"/>
    <xf numFmtId="0" fontId="2" fillId="48" borderId="0" xfId="8723" applyFill="1" applyAlignment="1">
      <alignment horizontal="left"/>
    </xf>
    <xf numFmtId="0" fontId="161" fillId="47" borderId="11" xfId="8723" applyFont="1" applyFill="1" applyBorder="1"/>
    <xf numFmtId="0" fontId="161" fillId="47" borderId="92" xfId="8723" applyFont="1" applyFill="1" applyBorder="1"/>
    <xf numFmtId="0" fontId="147" fillId="45" borderId="76" xfId="8723" applyFont="1" applyFill="1" applyBorder="1" applyAlignment="1">
      <alignment horizontal="left"/>
    </xf>
    <xf numFmtId="0" fontId="147" fillId="45" borderId="77" xfId="8723" applyFont="1" applyFill="1" applyBorder="1" applyAlignment="1">
      <alignment horizontal="center"/>
    </xf>
    <xf numFmtId="0" fontId="147" fillId="45" borderId="90" xfId="8723" applyFont="1" applyFill="1" applyBorder="1" applyAlignment="1">
      <alignment horizontal="center"/>
    </xf>
    <xf numFmtId="168" fontId="157" fillId="49" borderId="91" xfId="8724" applyNumberFormat="1" applyFont="1" applyFill="1" applyBorder="1" applyAlignment="1" applyProtection="1">
      <alignment horizontal="left"/>
      <protection locked="0"/>
    </xf>
    <xf numFmtId="168" fontId="157" fillId="49" borderId="77" xfId="8724" applyNumberFormat="1" applyFont="1" applyFill="1" applyBorder="1" applyAlignment="1" applyProtection="1">
      <alignment horizontal="left"/>
      <protection locked="0"/>
    </xf>
    <xf numFmtId="168" fontId="157" fillId="49" borderId="78" xfId="8724" applyNumberFormat="1" applyFont="1" applyFill="1" applyBorder="1" applyAlignment="1" applyProtection="1">
      <alignment horizontal="left"/>
      <protection locked="0"/>
    </xf>
    <xf numFmtId="0" fontId="147" fillId="45" borderId="93" xfId="8723" applyFont="1" applyFill="1" applyBorder="1" applyAlignment="1">
      <alignment horizontal="left"/>
    </xf>
    <xf numFmtId="0" fontId="147" fillId="45" borderId="4" xfId="8723" applyFont="1" applyFill="1" applyBorder="1" applyAlignment="1">
      <alignment horizontal="center"/>
    </xf>
    <xf numFmtId="0" fontId="147" fillId="45" borderId="5" xfId="8723" applyFont="1" applyFill="1" applyBorder="1" applyAlignment="1">
      <alignment horizontal="center"/>
    </xf>
    <xf numFmtId="168" fontId="157" fillId="49" borderId="3" xfId="8724" applyNumberFormat="1" applyFont="1" applyFill="1" applyBorder="1" applyAlignment="1" applyProtection="1">
      <alignment horizontal="left"/>
      <protection locked="0"/>
    </xf>
    <xf numFmtId="168" fontId="157" fillId="49" borderId="4" xfId="8724" applyNumberFormat="1" applyFont="1" applyFill="1" applyBorder="1" applyAlignment="1" applyProtection="1">
      <alignment horizontal="left"/>
      <protection locked="0"/>
    </xf>
    <xf numFmtId="168" fontId="157" fillId="49" borderId="80" xfId="8724" applyNumberFormat="1" applyFont="1" applyFill="1" applyBorder="1" applyAlignment="1" applyProtection="1">
      <alignment horizontal="left"/>
      <protection locked="0"/>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47" fillId="47" borderId="93" xfId="8723" applyFont="1" applyFill="1" applyBorder="1" applyAlignment="1">
      <alignment horizontal="center"/>
    </xf>
    <xf numFmtId="0" fontId="147" fillId="47" borderId="4" xfId="8723" applyFont="1" applyFill="1" applyBorder="1" applyAlignment="1">
      <alignment horizontal="center"/>
    </xf>
    <xf numFmtId="0" fontId="147" fillId="47" borderId="5" xfId="8723" applyFont="1" applyFill="1" applyBorder="1" applyAlignment="1">
      <alignment horizontal="center"/>
    </xf>
    <xf numFmtId="168" fontId="146" fillId="47" borderId="3" xfId="8724" applyNumberFormat="1" applyFont="1" applyFill="1" applyBorder="1" applyAlignment="1">
      <alignment horizontal="left"/>
    </xf>
    <xf numFmtId="168" fontId="146" fillId="47" borderId="4" xfId="8724" applyNumberFormat="1" applyFont="1" applyFill="1" applyBorder="1" applyAlignment="1">
      <alignment horizontal="left"/>
    </xf>
    <xf numFmtId="168" fontId="146" fillId="47" borderId="80" xfId="8724" applyNumberFormat="1" applyFont="1" applyFill="1" applyBorder="1" applyAlignment="1">
      <alignment horizontal="left"/>
    </xf>
    <xf numFmtId="0" fontId="162" fillId="48" borderId="0" xfId="8723" applyFont="1" applyFill="1"/>
    <xf numFmtId="0" fontId="99" fillId="48" borderId="67" xfId="8723" applyFont="1" applyFill="1" applyBorder="1"/>
    <xf numFmtId="49" fontId="99" fillId="48" borderId="67" xfId="8723" applyNumberFormat="1" applyFont="1" applyFill="1" applyBorder="1" applyAlignment="1">
      <alignment horizontal="right" vertical="top"/>
    </xf>
    <xf numFmtId="0" fontId="2" fillId="48" borderId="87" xfId="8723" applyFill="1" applyBorder="1"/>
    <xf numFmtId="0" fontId="2" fillId="48" borderId="42" xfId="8723" applyFill="1" applyBorder="1"/>
    <xf numFmtId="0" fontId="2" fillId="48" borderId="44" xfId="8723" applyFill="1" applyBorder="1"/>
    <xf numFmtId="0" fontId="2" fillId="44" borderId="67" xfId="8723" applyFill="1" applyBorder="1"/>
    <xf numFmtId="0" fontId="2" fillId="44" borderId="41" xfId="8723" applyFill="1" applyBorder="1"/>
    <xf numFmtId="0" fontId="2" fillId="44" borderId="0" xfId="8723" applyFill="1" applyAlignment="1">
      <alignment horizontal="left"/>
    </xf>
    <xf numFmtId="0" fontId="2" fillId="44" borderId="87" xfId="8723" applyFill="1" applyBorder="1"/>
    <xf numFmtId="0" fontId="2" fillId="44" borderId="42" xfId="8723" applyFill="1" applyBorder="1"/>
    <xf numFmtId="0" fontId="2" fillId="44" borderId="44" xfId="8723" applyFill="1" applyBorder="1"/>
    <xf numFmtId="0" fontId="153" fillId="0" borderId="0" xfId="8723" applyFont="1"/>
    <xf numFmtId="168" fontId="50" fillId="5" borderId="11" xfId="0" applyNumberFormat="1" applyFont="1" applyFill="1" applyBorder="1" applyAlignment="1" applyProtection="1">
      <alignment vertical="top"/>
      <protection locked="0"/>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4" fontId="31" fillId="0" borderId="0" xfId="0" applyNumberFormat="1" applyFont="1" applyAlignment="1">
      <alignment horizontal="left" vertical="top" wrapText="1"/>
    </xf>
    <xf numFmtId="0" fontId="20" fillId="0" borderId="0" xfId="0" applyFont="1" applyAlignment="1">
      <alignment horizontal="left" vertical="top"/>
    </xf>
    <xf numFmtId="0" fontId="13" fillId="0" borderId="0" xfId="569" applyAlignment="1">
      <alignment horizontal="center"/>
    </xf>
    <xf numFmtId="0" fontId="31" fillId="0" borderId="0" xfId="569" applyFont="1" applyAlignment="1">
      <alignment horizontal="left" wrapText="1"/>
    </xf>
    <xf numFmtId="0" fontId="13" fillId="0" borderId="0" xfId="569" applyAlignment="1">
      <alignment horizontal="left" vertical="center" wrapText="1"/>
    </xf>
    <xf numFmtId="0" fontId="14" fillId="0" borderId="0" xfId="244" applyNumberFormat="1" applyFill="1" applyAlignment="1" applyProtection="1">
      <alignment horizontal="left"/>
    </xf>
    <xf numFmtId="0" fontId="20" fillId="0" borderId="16" xfId="569" applyFont="1" applyBorder="1" applyAlignment="1">
      <alignment horizontal="left"/>
    </xf>
    <xf numFmtId="0" fontId="13" fillId="0" borderId="0" xfId="569" applyAlignment="1">
      <alignmen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2" fillId="5" borderId="11" xfId="0" applyFont="1" applyFill="1" applyBorder="1" applyAlignment="1" applyProtection="1">
      <alignment horizontal="center"/>
      <protection locked="0"/>
    </xf>
    <xf numFmtId="3" fontId="22" fillId="5" borderId="11" xfId="0" applyNumberFormat="1" applyFont="1" applyFill="1" applyBorder="1" applyAlignment="1" applyProtection="1">
      <alignment horizontal="center"/>
      <protection locked="0"/>
    </xf>
    <xf numFmtId="10" fontId="22" fillId="0" borderId="11" xfId="0" applyNumberFormat="1" applyFont="1" applyBorder="1" applyAlignment="1">
      <alignment horizontal="center"/>
    </xf>
    <xf numFmtId="168" fontId="22" fillId="0" borderId="11" xfId="0" applyNumberFormat="1" applyFont="1" applyBorder="1" applyAlignment="1">
      <alignment horizontal="center"/>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2"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4" xfId="0" applyFont="1" applyBorder="1" applyAlignment="1">
      <alignment horizontal="center"/>
    </xf>
    <xf numFmtId="0" fontId="20" fillId="0" borderId="5" xfId="0" applyFont="1" applyBorder="1" applyAlignment="1">
      <alignment horizontal="center"/>
    </xf>
    <xf numFmtId="0" fontId="13" fillId="0" borderId="3" xfId="0" applyFont="1" applyBorder="1" applyAlignment="1">
      <alignment horizontal="center"/>
    </xf>
    <xf numFmtId="0" fontId="13" fillId="0" borderId="5" xfId="0" applyFont="1" applyBorder="1" applyAlignment="1">
      <alignment horizontal="center"/>
    </xf>
    <xf numFmtId="0" fontId="20"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9" fillId="3" borderId="2" xfId="0" applyFont="1" applyFill="1" applyBorder="1" applyAlignment="1">
      <alignment horizontal="center" vertical="center"/>
    </xf>
    <xf numFmtId="0" fontId="19"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2" fillId="5" borderId="4" xfId="0" applyNumberFormat="1" applyFon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0" fontId="20" fillId="0" borderId="6" xfId="0" applyFont="1" applyBorder="1" applyAlignment="1">
      <alignment horizontal="center"/>
    </xf>
    <xf numFmtId="0" fontId="20"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1" fillId="43" borderId="6" xfId="0" applyFont="1" applyFill="1" applyBorder="1" applyAlignment="1" applyProtection="1">
      <alignment horizontal="left"/>
      <protection locked="0"/>
    </xf>
    <xf numFmtId="168" fontId="13" fillId="0" borderId="3" xfId="0" applyNumberFormat="1" applyFont="1" applyBorder="1" applyAlignment="1">
      <alignment horizontal="left" vertical="top"/>
    </xf>
    <xf numFmtId="0" fontId="167" fillId="0" borderId="0" xfId="0" applyFont="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3" fontId="22" fillId="0" borderId="11" xfId="0" applyNumberFormat="1" applyFont="1" applyBorder="1" applyAlignment="1">
      <alignment horizontal="center"/>
    </xf>
    <xf numFmtId="0" fontId="22" fillId="5" borderId="4" xfId="0" applyFont="1" applyFill="1" applyBorder="1" applyAlignment="1" applyProtection="1">
      <alignment horizontal="left"/>
      <protection locked="0"/>
    </xf>
    <xf numFmtId="0" fontId="13"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4"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0" fontId="22" fillId="0" borderId="3" xfId="0" applyFont="1" applyBorder="1" applyAlignment="1">
      <alignment horizontal="center"/>
    </xf>
    <xf numFmtId="0" fontId="22" fillId="0" borderId="5" xfId="0" applyFont="1" applyBorder="1" applyAlignment="1">
      <alignment horizontal="center"/>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0" borderId="4" xfId="0" applyFont="1" applyBorder="1" applyAlignment="1">
      <alignment horizontal="center"/>
    </xf>
    <xf numFmtId="0" fontId="13" fillId="0" borderId="11" xfId="543" applyBorder="1" applyAlignment="1">
      <alignment horizontal="center"/>
    </xf>
    <xf numFmtId="0" fontId="13" fillId="5" borderId="6" xfId="0" applyFont="1" applyFill="1" applyBorder="1" applyAlignment="1" applyProtection="1">
      <alignment horizontal="left"/>
      <protection locked="0"/>
    </xf>
    <xf numFmtId="0" fontId="0" fillId="0" borderId="6" xfId="0" applyBorder="1" applyAlignment="1">
      <alignment horizontal="left"/>
    </xf>
    <xf numFmtId="0" fontId="13" fillId="5" borderId="4" xfId="0" applyFont="1" applyFill="1" applyBorder="1" applyAlignment="1" applyProtection="1">
      <alignment horizontal="left"/>
      <protection locked="0"/>
    </xf>
    <xf numFmtId="0" fontId="20"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6" xfId="0" applyFont="1" applyBorder="1" applyAlignment="1">
      <alignment horizontal="right"/>
    </xf>
    <xf numFmtId="0" fontId="20" fillId="0" borderId="5" xfId="0" applyFont="1" applyBorder="1" applyAlignment="1">
      <alignment horizontal="right"/>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32" fillId="5" borderId="6" xfId="0" applyFont="1" applyFill="1" applyBorder="1" applyAlignment="1" applyProtection="1">
      <alignment horizontal="left"/>
      <protection locked="0"/>
    </xf>
    <xf numFmtId="168" fontId="170"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3" fillId="43" borderId="4"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166" fontId="22" fillId="5" borderId="4" xfId="271" applyNumberForma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22" fillId="0" borderId="6" xfId="0" applyFont="1" applyBorder="1" applyAlignment="1">
      <alignment horizontal="left"/>
    </xf>
    <xf numFmtId="0" fontId="13" fillId="5" borderId="0" xfId="244" applyFont="1" applyFill="1" applyBorder="1" applyAlignment="1" applyProtection="1">
      <alignment horizontal="left"/>
      <protection locked="0"/>
    </xf>
    <xf numFmtId="0" fontId="13" fillId="0" borderId="6" xfId="0" applyFont="1" applyBorder="1" applyAlignment="1" applyProtection="1">
      <alignment horizontal="center"/>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0" fontId="28"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0" borderId="0" xfId="0" applyFont="1" applyAlignment="1">
      <alignment horizontal="center"/>
    </xf>
    <xf numFmtId="0" fontId="22" fillId="0" borderId="0" xfId="0" applyFont="1" applyAlignment="1">
      <alignment horizontal="center"/>
    </xf>
    <xf numFmtId="168" fontId="22"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0" fillId="0" borderId="6" xfId="0" applyBorder="1" applyAlignment="1" applyProtection="1">
      <alignment horizontal="center"/>
      <protection locked="0"/>
    </xf>
    <xf numFmtId="0" fontId="22" fillId="5" borderId="6" xfId="271" applyFill="1" applyBorder="1" applyProtection="1">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0" borderId="1" xfId="0" applyFont="1" applyBorder="1" applyAlignment="1">
      <alignment horizontal="center" vertical="top" wrapText="1"/>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0" borderId="9" xfId="0" applyFont="1" applyBorder="1" applyAlignment="1">
      <alignment horizontal="right"/>
    </xf>
    <xf numFmtId="0" fontId="20"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9" xfId="0" applyBorder="1" applyAlignment="1">
      <alignment horizontal="left"/>
    </xf>
    <xf numFmtId="168"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2"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160" fillId="44" borderId="8" xfId="0" applyFont="1" applyFill="1" applyBorder="1" applyAlignment="1">
      <alignment horizontal="center" vertical="top" wrapText="1"/>
    </xf>
    <xf numFmtId="0" fontId="160" fillId="44" borderId="0" xfId="0" applyFont="1" applyFill="1" applyAlignment="1">
      <alignment horizontal="center" vertical="top" wrapText="1"/>
    </xf>
    <xf numFmtId="9" fontId="160" fillId="44" borderId="8" xfId="0" applyNumberFormat="1" applyFont="1" applyFill="1" applyBorder="1" applyAlignment="1">
      <alignment horizontal="center"/>
    </xf>
    <xf numFmtId="9" fontId="160" fillId="44" borderId="0" xfId="0" applyNumberFormat="1" applyFont="1" applyFill="1" applyAlignment="1">
      <alignment horizontal="center"/>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3" fillId="0" borderId="0" xfId="543" applyNumberFormat="1" applyAlignment="1">
      <alignment horizontal="right"/>
    </xf>
    <xf numFmtId="2" fontId="13" fillId="0" borderId="0" xfId="543" applyNumberFormat="1" applyAlignment="1">
      <alignment horizontal="center"/>
    </xf>
    <xf numFmtId="0" fontId="13"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2"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71" fontId="13" fillId="0" borderId="0" xfId="543" applyNumberFormat="1" applyAlignment="1">
      <alignment horizontal="center"/>
    </xf>
    <xf numFmtId="168" fontId="0" fillId="0" borderId="11" xfId="0" applyNumberFormat="1" applyBorder="1" applyAlignment="1">
      <alignment horizontal="right"/>
    </xf>
    <xf numFmtId="9" fontId="13"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20" fillId="0" borderId="2" xfId="0" applyFont="1" applyBorder="1" applyAlignment="1">
      <alignment horizontal="right"/>
    </xf>
    <xf numFmtId="0" fontId="20"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20" fillId="0" borderId="17" xfId="0" applyFont="1" applyBorder="1"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2" fillId="0" borderId="11" xfId="0" applyFont="1" applyBorder="1" applyAlignment="1">
      <alignment horizontal="center" vertical="top" wrapText="1"/>
    </xf>
    <xf numFmtId="0" fontId="13" fillId="0" borderId="11" xfId="0" applyFont="1" applyBorder="1" applyAlignment="1">
      <alignment horizontal="center"/>
    </xf>
    <xf numFmtId="0" fontId="13" fillId="43" borderId="11" xfId="0" applyFont="1" applyFill="1" applyBorder="1" applyAlignment="1" applyProtection="1">
      <alignment horizontal="center"/>
      <protection locked="0"/>
    </xf>
    <xf numFmtId="168" fontId="13" fillId="0" borderId="11" xfId="543" applyNumberForma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2"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5" borderId="6"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2" fillId="5" borderId="4" xfId="0" applyNumberFormat="1" applyFont="1" applyFill="1" applyBorder="1" applyAlignment="1" applyProtection="1">
      <alignment horizontal="right"/>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72" fontId="0" fillId="5" borderId="6" xfId="0" applyNumberFormat="1" applyFill="1" applyBorder="1" applyAlignment="1" applyProtection="1">
      <alignment horizontal="center"/>
      <protection locked="0"/>
    </xf>
    <xf numFmtId="0" fontId="22" fillId="2" borderId="11" xfId="0" applyFont="1" applyFill="1" applyBorder="1" applyAlignment="1">
      <alignment horizontal="center"/>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3" fontId="41"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6"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4" fontId="22"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2"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20" fillId="0" borderId="1"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19" fillId="3" borderId="0" xfId="0" applyFont="1" applyFill="1" applyAlignment="1">
      <alignment horizontal="center" vertical="center"/>
    </xf>
    <xf numFmtId="9" fontId="13" fillId="5" borderId="3" xfId="0" applyNumberFormat="1" applyFont="1" applyFill="1" applyBorder="1" applyAlignment="1" applyProtection="1">
      <alignment horizontal="right"/>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0" fontId="13" fillId="0" borderId="4" xfId="0"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0" fontId="20" fillId="0" borderId="11" xfId="0" applyFont="1" applyBorder="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0" fillId="0" borderId="0" xfId="0"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3" xfId="4495" applyFill="1" applyBorder="1" applyAlignment="1">
      <alignment horizontal="center"/>
    </xf>
    <xf numFmtId="0" fontId="117" fillId="5" borderId="64"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3" xfId="4495" applyFill="1" applyBorder="1" applyAlignment="1" applyProtection="1">
      <alignment horizontal="center"/>
      <protection locked="0"/>
    </xf>
    <xf numFmtId="0" fontId="117" fillId="5" borderId="64"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5" xfId="4499" applyNumberFormat="1" applyFont="1" applyFill="1" applyBorder="1" applyAlignment="1" applyProtection="1">
      <alignment horizontal="left" vertical="center" indent="1"/>
    </xf>
    <xf numFmtId="168" fontId="95" fillId="0" borderId="84"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2"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1" xfId="4496" applyFont="1" applyBorder="1" applyAlignment="1">
      <alignment horizontal="center" vertical="top" wrapText="1"/>
    </xf>
    <xf numFmtId="0" fontId="134" fillId="0" borderId="90" xfId="4496" applyFont="1" applyBorder="1" applyAlignment="1">
      <alignment horizontal="center" vertical="top" wrapText="1"/>
    </xf>
    <xf numFmtId="0" fontId="95" fillId="0" borderId="72" xfId="4496" applyFont="1" applyBorder="1"/>
    <xf numFmtId="0" fontId="95" fillId="0" borderId="75" xfId="4496" applyFont="1" applyBorder="1"/>
    <xf numFmtId="0" fontId="95" fillId="0" borderId="11" xfId="4496" applyFont="1" applyBorder="1"/>
    <xf numFmtId="0" fontId="95" fillId="0" borderId="92" xfId="4496" applyFont="1" applyBorder="1"/>
    <xf numFmtId="0" fontId="95" fillId="0" borderId="81" xfId="4496" applyFont="1" applyBorder="1" applyAlignment="1">
      <alignment horizontal="right"/>
    </xf>
    <xf numFmtId="0" fontId="95" fillId="0" borderId="11" xfId="4496" applyFont="1" applyBorder="1" applyAlignment="1">
      <alignment horizontal="right"/>
    </xf>
    <xf numFmtId="0" fontId="95" fillId="0" borderId="73" xfId="4496" applyFont="1" applyBorder="1" applyAlignment="1">
      <alignment horizontal="right"/>
    </xf>
    <xf numFmtId="0" fontId="95" fillId="0" borderId="74" xfId="4496" applyFont="1" applyBorder="1" applyAlignment="1">
      <alignment horizontal="right"/>
    </xf>
    <xf numFmtId="0" fontId="95" fillId="0" borderId="74" xfId="4496" applyFont="1" applyBorder="1"/>
    <xf numFmtId="0" fontId="95" fillId="0" borderId="94" xfId="4496" applyFont="1" applyBorder="1"/>
    <xf numFmtId="0" fontId="95" fillId="0" borderId="71" xfId="4496" applyFont="1" applyBorder="1" applyAlignment="1">
      <alignment horizontal="right"/>
    </xf>
    <xf numFmtId="0" fontId="95" fillId="0" borderId="72" xfId="4496" applyFont="1" applyBorder="1" applyAlignment="1">
      <alignment horizontal="right"/>
    </xf>
    <xf numFmtId="0" fontId="146" fillId="44" borderId="68" xfId="8723" applyFont="1" applyFill="1" applyBorder="1" applyAlignment="1">
      <alignment horizontal="left"/>
    </xf>
    <xf numFmtId="0" fontId="146" fillId="44" borderId="69" xfId="8723" applyFont="1" applyFill="1" applyBorder="1" applyAlignment="1">
      <alignment horizontal="left"/>
    </xf>
    <xf numFmtId="0" fontId="146" fillId="44" borderId="70" xfId="8723" applyFont="1" applyFill="1" applyBorder="1" applyAlignment="1">
      <alignment horizontal="left"/>
    </xf>
    <xf numFmtId="0" fontId="144" fillId="45" borderId="11" xfId="8723" applyFont="1" applyFill="1" applyBorder="1" applyAlignment="1">
      <alignment horizontal="right"/>
    </xf>
    <xf numFmtId="1" fontId="146" fillId="49" borderId="11" xfId="8723" applyNumberFormat="1" applyFont="1" applyFill="1" applyBorder="1" applyAlignment="1" applyProtection="1">
      <alignment horizontal="center"/>
      <protection locked="0"/>
    </xf>
    <xf numFmtId="0" fontId="2" fillId="44" borderId="68" xfId="8723" applyFill="1" applyBorder="1" applyAlignment="1">
      <alignment horizontal="center"/>
    </xf>
    <xf numFmtId="0" fontId="2" fillId="44" borderId="69" xfId="8723" applyFill="1" applyBorder="1" applyAlignment="1">
      <alignment horizontal="center"/>
    </xf>
    <xf numFmtId="0" fontId="2" fillId="44" borderId="70" xfId="8723" applyFill="1" applyBorder="1" applyAlignment="1">
      <alignment horizontal="center"/>
    </xf>
    <xf numFmtId="0" fontId="142" fillId="47" borderId="66" xfId="8723" applyFont="1" applyFill="1" applyBorder="1" applyAlignment="1">
      <alignment horizontal="center"/>
    </xf>
    <xf numFmtId="0" fontId="142" fillId="47" borderId="29" xfId="8723" applyFont="1" applyFill="1" applyBorder="1" applyAlignment="1">
      <alignment horizontal="center"/>
    </xf>
    <xf numFmtId="0" fontId="142" fillId="47" borderId="31" xfId="8723" applyFont="1" applyFill="1" applyBorder="1" applyAlignment="1">
      <alignment horizontal="center"/>
    </xf>
    <xf numFmtId="0" fontId="143" fillId="49" borderId="67" xfId="8723" applyFont="1" applyFill="1" applyBorder="1" applyAlignment="1">
      <alignment horizontal="center"/>
    </xf>
    <xf numFmtId="0" fontId="143" fillId="49" borderId="0" xfId="8723" applyFont="1" applyFill="1" applyAlignment="1">
      <alignment horizontal="center"/>
    </xf>
    <xf numFmtId="0" fontId="143" fillId="49" borderId="41" xfId="8723" applyFont="1" applyFill="1" applyBorder="1" applyAlignment="1">
      <alignment horizontal="center"/>
    </xf>
    <xf numFmtId="0" fontId="159" fillId="45" borderId="11" xfId="8723" applyFont="1" applyFill="1" applyBorder="1" applyAlignment="1">
      <alignment horizontal="right"/>
    </xf>
    <xf numFmtId="14" fontId="146" fillId="49" borderId="11" xfId="8723" applyNumberFormat="1" applyFont="1" applyFill="1" applyBorder="1" applyAlignment="1" applyProtection="1">
      <alignment horizontal="center"/>
      <protection locked="0"/>
    </xf>
    <xf numFmtId="0" fontId="146" fillId="49" borderId="11" xfId="8723" applyFont="1" applyFill="1" applyBorder="1" applyAlignment="1" applyProtection="1">
      <alignment horizontal="center"/>
      <protection locked="0"/>
    </xf>
    <xf numFmtId="0" fontId="147" fillId="45" borderId="11" xfId="8723" applyFont="1" applyFill="1" applyBorder="1" applyAlignment="1">
      <alignment horizontal="right"/>
    </xf>
    <xf numFmtId="14" fontId="146" fillId="49" borderId="11" xfId="8723" applyNumberFormat="1" applyFont="1" applyFill="1" applyBorder="1" applyAlignment="1" applyProtection="1">
      <alignment horizontal="center" vertical="center"/>
      <protection locked="0"/>
    </xf>
    <xf numFmtId="0" fontId="146" fillId="49" borderId="11" xfId="8723" applyFont="1" applyFill="1" applyBorder="1" applyAlignment="1" applyProtection="1">
      <alignment horizontal="center" vertical="center"/>
      <protection locked="0"/>
    </xf>
    <xf numFmtId="0" fontId="99" fillId="45" borderId="68" xfId="8723" applyFont="1" applyFill="1" applyBorder="1" applyAlignment="1">
      <alignment horizontal="center"/>
    </xf>
    <xf numFmtId="0" fontId="99" fillId="45" borderId="69" xfId="8723" applyFont="1" applyFill="1" applyBorder="1" applyAlignment="1">
      <alignment horizontal="center"/>
    </xf>
    <xf numFmtId="0" fontId="99" fillId="45" borderId="70" xfId="8723" applyFont="1" applyFill="1" applyBorder="1" applyAlignment="1">
      <alignment horizontal="center"/>
    </xf>
    <xf numFmtId="0" fontId="146" fillId="49" borderId="68" xfId="8723" applyFont="1" applyFill="1" applyBorder="1" applyAlignment="1" applyProtection="1">
      <alignment horizontal="center"/>
      <protection locked="0"/>
    </xf>
    <xf numFmtId="0" fontId="146" fillId="49" borderId="69" xfId="8723" applyFont="1" applyFill="1" applyBorder="1" applyAlignment="1" applyProtection="1">
      <alignment horizontal="center"/>
      <protection locked="0"/>
    </xf>
    <xf numFmtId="0" fontId="146" fillId="49" borderId="70" xfId="8723" applyFont="1" applyFill="1" applyBorder="1" applyAlignment="1" applyProtection="1">
      <alignment horizontal="center"/>
      <protection locked="0"/>
    </xf>
    <xf numFmtId="0" fontId="99" fillId="45" borderId="68" xfId="8723" applyFont="1" applyFill="1" applyBorder="1" applyAlignment="1">
      <alignment horizontal="right"/>
    </xf>
    <xf numFmtId="0" fontId="99" fillId="45" borderId="69" xfId="8723" applyFont="1" applyFill="1" applyBorder="1" applyAlignment="1">
      <alignment horizontal="right"/>
    </xf>
    <xf numFmtId="0" fontId="99" fillId="45" borderId="101" xfId="8723" applyFont="1" applyFill="1" applyBorder="1" applyAlignment="1">
      <alignment horizontal="right"/>
    </xf>
    <xf numFmtId="0" fontId="2" fillId="44" borderId="98" xfId="8723" applyFill="1" applyBorder="1" applyAlignment="1">
      <alignment horizontal="center"/>
    </xf>
    <xf numFmtId="0" fontId="2" fillId="44" borderId="99" xfId="8723" applyFill="1" applyBorder="1" applyAlignment="1">
      <alignment horizontal="center"/>
    </xf>
    <xf numFmtId="168" fontId="163" fillId="44" borderId="11" xfId="8724" applyNumberFormat="1" applyFont="1" applyFill="1" applyBorder="1" applyAlignment="1" applyProtection="1">
      <alignment horizontal="left"/>
    </xf>
    <xf numFmtId="1" fontId="2" fillId="44" borderId="11" xfId="8723" applyNumberFormat="1" applyFill="1" applyBorder="1" applyAlignment="1">
      <alignment horizontal="center"/>
    </xf>
    <xf numFmtId="0" fontId="2" fillId="44" borderId="11" xfId="8723" applyFill="1" applyBorder="1" applyAlignment="1">
      <alignment horizontal="center"/>
    </xf>
    <xf numFmtId="0" fontId="144" fillId="45" borderId="11" xfId="8723" applyFont="1" applyFill="1" applyBorder="1" applyAlignment="1">
      <alignment horizontal="right" wrapText="1"/>
    </xf>
    <xf numFmtId="0" fontId="143" fillId="45" borderId="76" xfId="8723" applyFont="1" applyFill="1" applyBorder="1" applyAlignment="1">
      <alignment horizontal="center"/>
    </xf>
    <xf numFmtId="0" fontId="143" fillId="45" borderId="77" xfId="8723" applyFont="1" applyFill="1" applyBorder="1" applyAlignment="1">
      <alignment horizontal="center"/>
    </xf>
    <xf numFmtId="0" fontId="143" fillId="45" borderId="78" xfId="8723" applyFont="1" applyFill="1" applyBorder="1" applyAlignment="1">
      <alignment horizontal="center"/>
    </xf>
    <xf numFmtId="0" fontId="147" fillId="45" borderId="79" xfId="8723" applyFont="1" applyFill="1" applyBorder="1" applyAlignment="1">
      <alignment horizontal="center"/>
    </xf>
    <xf numFmtId="0" fontId="147" fillId="45" borderId="2" xfId="8723" applyFont="1" applyFill="1" applyBorder="1" applyAlignment="1">
      <alignment horizontal="center"/>
    </xf>
    <xf numFmtId="0" fontId="147" fillId="45" borderId="7" xfId="8723" applyFont="1" applyFill="1" applyBorder="1" applyAlignment="1">
      <alignment horizontal="center"/>
    </xf>
    <xf numFmtId="0" fontId="147" fillId="45" borderId="3" xfId="8723" applyFont="1" applyFill="1" applyBorder="1" applyAlignment="1">
      <alignment horizontal="center"/>
    </xf>
    <xf numFmtId="0" fontId="147" fillId="45" borderId="4" xfId="8723" applyFont="1" applyFill="1" applyBorder="1" applyAlignment="1">
      <alignment horizontal="center"/>
    </xf>
    <xf numFmtId="0" fontId="147" fillId="45" borderId="5" xfId="8723" applyFont="1" applyFill="1" applyBorder="1" applyAlignment="1">
      <alignment horizontal="center"/>
    </xf>
    <xf numFmtId="0" fontId="147" fillId="45" borderId="80" xfId="8723" applyFont="1" applyFill="1" applyBorder="1" applyAlignment="1">
      <alignment horizontal="center"/>
    </xf>
    <xf numFmtId="0" fontId="161" fillId="44" borderId="3" xfId="8723" applyFont="1" applyFill="1" applyBorder="1" applyAlignment="1">
      <alignment horizontal="center"/>
    </xf>
    <xf numFmtId="0" fontId="161" fillId="44" borderId="4" xfId="8723" applyFont="1" applyFill="1" applyBorder="1" applyAlignment="1">
      <alignment horizontal="center"/>
    </xf>
    <xf numFmtId="0" fontId="161" fillId="44" borderId="5" xfId="8723" applyFont="1" applyFill="1" applyBorder="1" applyAlignment="1">
      <alignment horizontal="center"/>
    </xf>
    <xf numFmtId="9" fontId="147" fillId="44" borderId="3" xfId="8723" applyNumberFormat="1" applyFont="1" applyFill="1" applyBorder="1" applyAlignment="1">
      <alignment horizontal="center"/>
    </xf>
    <xf numFmtId="9" fontId="147" fillId="44" borderId="4" xfId="8723" applyNumberFormat="1" applyFont="1" applyFill="1" applyBorder="1" applyAlignment="1">
      <alignment horizontal="center"/>
    </xf>
    <xf numFmtId="9" fontId="147" fillId="44" borderId="80" xfId="8723" applyNumberFormat="1" applyFont="1" applyFill="1" applyBorder="1" applyAlignment="1">
      <alignment horizontal="center"/>
    </xf>
    <xf numFmtId="9" fontId="161" fillId="49" borderId="93" xfId="8723" applyNumberFormat="1" applyFont="1" applyFill="1" applyBorder="1" applyAlignment="1">
      <alignment horizontal="center"/>
    </xf>
    <xf numFmtId="9" fontId="161" fillId="49" borderId="4" xfId="8723" applyNumberFormat="1" applyFont="1" applyFill="1" applyBorder="1" applyAlignment="1">
      <alignment horizontal="center"/>
    </xf>
    <xf numFmtId="9" fontId="161" fillId="49" borderId="5" xfId="8723" applyNumberFormat="1" applyFont="1" applyFill="1" applyBorder="1" applyAlignment="1">
      <alignment horizontal="center"/>
    </xf>
    <xf numFmtId="0" fontId="147" fillId="44" borderId="82" xfId="8723" applyFont="1" applyFill="1" applyBorder="1" applyAlignment="1">
      <alignment horizontal="center"/>
    </xf>
    <xf numFmtId="0" fontId="147" fillId="44" borderId="83" xfId="8723" applyFont="1" applyFill="1" applyBorder="1" applyAlignment="1">
      <alignment horizontal="center"/>
    </xf>
    <xf numFmtId="0" fontId="147" fillId="44" borderId="84" xfId="8723" applyFont="1" applyFill="1" applyBorder="1" applyAlignment="1">
      <alignment horizontal="center"/>
    </xf>
    <xf numFmtId="0" fontId="161" fillId="44" borderId="85" xfId="8723" applyFont="1" applyFill="1" applyBorder="1" applyAlignment="1">
      <alignment horizontal="center"/>
    </xf>
    <xf numFmtId="0" fontId="161" fillId="44" borderId="83" xfId="8723" applyFont="1" applyFill="1" applyBorder="1" applyAlignment="1">
      <alignment horizontal="center"/>
    </xf>
    <xf numFmtId="0" fontId="161" fillId="44" borderId="84" xfId="8723" applyFont="1" applyFill="1" applyBorder="1" applyAlignment="1">
      <alignment horizontal="center"/>
    </xf>
    <xf numFmtId="9" fontId="147" fillId="44" borderId="85" xfId="8723" applyNumberFormat="1" applyFont="1" applyFill="1" applyBorder="1" applyAlignment="1">
      <alignment horizontal="center"/>
    </xf>
    <xf numFmtId="9" fontId="147" fillId="44" borderId="83" xfId="8723" applyNumberFormat="1" applyFont="1" applyFill="1" applyBorder="1" applyAlignment="1">
      <alignment horizontal="center"/>
    </xf>
    <xf numFmtId="9" fontId="147" fillId="44" borderId="86" xfId="8723" applyNumberFormat="1" applyFont="1" applyFill="1" applyBorder="1" applyAlignment="1">
      <alignment horizontal="center"/>
    </xf>
    <xf numFmtId="9" fontId="147" fillId="49" borderId="11" xfId="8723" applyNumberFormat="1" applyFont="1" applyFill="1" applyBorder="1" applyAlignment="1" applyProtection="1">
      <alignment horizontal="center"/>
      <protection locked="0"/>
    </xf>
    <xf numFmtId="9" fontId="148" fillId="49" borderId="11" xfId="8723" applyNumberFormat="1" applyFont="1" applyFill="1" applyBorder="1" applyAlignment="1" applyProtection="1">
      <alignment horizontal="center"/>
      <protection locked="0"/>
    </xf>
    <xf numFmtId="0" fontId="148" fillId="44" borderId="11" xfId="8723" applyFont="1" applyFill="1" applyBorder="1" applyAlignment="1">
      <alignment horizontal="center"/>
    </xf>
    <xf numFmtId="0" fontId="148" fillId="44" borderId="92" xfId="8723" applyFont="1" applyFill="1" applyBorder="1" applyAlignment="1">
      <alignment horizontal="center"/>
    </xf>
    <xf numFmtId="0" fontId="147" fillId="44" borderId="89" xfId="8723" applyFont="1" applyFill="1" applyBorder="1" applyAlignment="1">
      <alignment horizontal="center"/>
    </xf>
    <xf numFmtId="0" fontId="147" fillId="44" borderId="42" xfId="8723" applyFont="1" applyFill="1" applyBorder="1" applyAlignment="1">
      <alignment horizontal="center"/>
    </xf>
    <xf numFmtId="0" fontId="147" fillId="44" borderId="88" xfId="8723" applyFont="1" applyFill="1" applyBorder="1" applyAlignment="1">
      <alignment horizontal="center"/>
    </xf>
    <xf numFmtId="9" fontId="147" fillId="44" borderId="89"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3" fillId="45" borderId="71" xfId="8723" applyFont="1" applyFill="1" applyBorder="1" applyAlignment="1">
      <alignment horizontal="center"/>
    </xf>
    <xf numFmtId="0" fontId="143" fillId="45" borderId="72" xfId="8723" applyFont="1" applyFill="1" applyBorder="1" applyAlignment="1">
      <alignment horizontal="center"/>
    </xf>
    <xf numFmtId="0" fontId="143" fillId="45" borderId="75" xfId="8723" applyFont="1" applyFill="1" applyBorder="1" applyAlignment="1">
      <alignment horizontal="center"/>
    </xf>
    <xf numFmtId="0" fontId="148" fillId="45" borderId="81" xfId="8723" applyFont="1" applyFill="1" applyBorder="1" applyAlignment="1">
      <alignment horizontal="center" vertical="center" wrapText="1"/>
    </xf>
    <xf numFmtId="0" fontId="148" fillId="45" borderId="11" xfId="8723" applyFont="1" applyFill="1" applyBorder="1" applyAlignment="1">
      <alignment horizontal="center" vertical="center"/>
    </xf>
    <xf numFmtId="0" fontId="148" fillId="45" borderId="81" xfId="8723" applyFont="1" applyFill="1" applyBorder="1" applyAlignment="1">
      <alignment horizontal="center" vertical="center"/>
    </xf>
    <xf numFmtId="0" fontId="147" fillId="45" borderId="1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8" fillId="45" borderId="11" xfId="8723" applyFont="1" applyFill="1" applyBorder="1" applyAlignment="1">
      <alignment horizontal="center"/>
    </xf>
    <xf numFmtId="0" fontId="148" fillId="45" borderId="92" xfId="8723" applyFont="1" applyFill="1" applyBorder="1" applyAlignment="1">
      <alignment horizontal="center"/>
    </xf>
    <xf numFmtId="0" fontId="148"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0" fontId="147" fillId="44" borderId="87" xfId="8723" applyFont="1" applyFill="1" applyBorder="1" applyAlignment="1">
      <alignment horizontal="center"/>
    </xf>
    <xf numFmtId="0" fontId="163" fillId="49" borderId="81" xfId="8723" applyFont="1" applyFill="1" applyBorder="1" applyAlignment="1" applyProtection="1">
      <alignment horizontal="right"/>
      <protection locked="0"/>
    </xf>
    <xf numFmtId="0" fontId="163" fillId="49" borderId="11" xfId="8723" applyFont="1" applyFill="1" applyBorder="1" applyAlignment="1" applyProtection="1">
      <alignment horizontal="right"/>
      <protection locked="0"/>
    </xf>
    <xf numFmtId="0" fontId="162" fillId="49" borderId="11" xfId="8723" applyFont="1" applyFill="1" applyBorder="1" applyAlignment="1" applyProtection="1">
      <alignment horizontal="center"/>
      <protection locked="0"/>
    </xf>
    <xf numFmtId="1" fontId="162" fillId="49" borderId="11" xfId="8723" applyNumberFormat="1" applyFont="1" applyFill="1" applyBorder="1" applyAlignment="1" applyProtection="1">
      <alignment horizontal="center"/>
      <protection locked="0"/>
    </xf>
    <xf numFmtId="1" fontId="148" fillId="44" borderId="11" xfId="8723" applyNumberFormat="1" applyFont="1" applyFill="1" applyBorder="1" applyAlignment="1">
      <alignment horizontal="center"/>
    </xf>
    <xf numFmtId="9" fontId="148" fillId="44" borderId="11" xfId="8725" applyFont="1" applyFill="1" applyBorder="1" applyAlignment="1">
      <alignment horizontal="center"/>
    </xf>
    <xf numFmtId="9" fontId="148" fillId="44" borderId="92" xfId="8725" applyFont="1" applyFill="1" applyBorder="1" applyAlignment="1">
      <alignment horizontal="center"/>
    </xf>
    <xf numFmtId="0" fontId="161" fillId="49" borderId="81" xfId="8723" applyFont="1" applyFill="1" applyBorder="1" applyAlignment="1" applyProtection="1">
      <alignment horizontal="right"/>
      <protection locked="0"/>
    </xf>
    <xf numFmtId="0" fontId="161" fillId="49" borderId="11" xfId="8723" applyFont="1" applyFill="1" applyBorder="1" applyAlignment="1" applyProtection="1">
      <alignment horizontal="right"/>
      <protection locked="0"/>
    </xf>
    <xf numFmtId="9" fontId="148" fillId="44" borderId="74" xfId="8725" applyFont="1" applyFill="1" applyBorder="1" applyAlignment="1">
      <alignment horizontal="center"/>
    </xf>
    <xf numFmtId="9" fontId="148" fillId="44" borderId="94" xfId="8725" applyFont="1" applyFill="1" applyBorder="1" applyAlignment="1">
      <alignment horizontal="center"/>
    </xf>
    <xf numFmtId="0" fontId="161" fillId="49" borderId="73" xfId="8723" applyFont="1" applyFill="1" applyBorder="1" applyAlignment="1" applyProtection="1">
      <alignment horizontal="right"/>
      <protection locked="0"/>
    </xf>
    <xf numFmtId="0" fontId="161" fillId="49" borderId="74" xfId="8723" applyFont="1" applyFill="1" applyBorder="1" applyAlignment="1" applyProtection="1">
      <alignment horizontal="right"/>
      <protection locked="0"/>
    </xf>
    <xf numFmtId="0" fontId="162" fillId="49" borderId="74" xfId="8723" applyFont="1" applyFill="1" applyBorder="1" applyAlignment="1" applyProtection="1">
      <alignment horizontal="center"/>
      <protection locked="0"/>
    </xf>
    <xf numFmtId="1" fontId="162" fillId="49" borderId="74" xfId="8723" applyNumberFormat="1" applyFont="1" applyFill="1" applyBorder="1" applyAlignment="1" applyProtection="1">
      <alignment horizontal="center"/>
      <protection locked="0"/>
    </xf>
    <xf numFmtId="0" fontId="147" fillId="45" borderId="81" xfId="8723" applyFont="1" applyFill="1" applyBorder="1" applyAlignment="1">
      <alignment horizontal="center"/>
    </xf>
    <xf numFmtId="0" fontId="147" fillId="45" borderId="11" xfId="8723" applyFont="1" applyFill="1" applyBorder="1" applyAlignment="1">
      <alignment horizontal="center"/>
    </xf>
    <xf numFmtId="0" fontId="148" fillId="45" borderId="92" xfId="8723" applyFont="1" applyFill="1" applyBorder="1" applyAlignment="1">
      <alignment horizontal="center" vertical="center" wrapText="1"/>
    </xf>
    <xf numFmtId="1" fontId="148" fillId="44" borderId="74" xfId="8723" applyNumberFormat="1" applyFont="1" applyFill="1" applyBorder="1" applyAlignment="1">
      <alignment horizontal="center"/>
    </xf>
    <xf numFmtId="0" fontId="161" fillId="49" borderId="11" xfId="8723" applyFont="1" applyFill="1" applyBorder="1" applyAlignment="1" applyProtection="1">
      <alignment horizontal="center"/>
      <protection locked="0"/>
    </xf>
    <xf numFmtId="168" fontId="161" fillId="49" borderId="11" xfId="8724" applyNumberFormat="1"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2" xfId="700" applyNumberFormat="1" applyFont="1" applyFill="1" applyBorder="1" applyAlignment="1" applyProtection="1">
      <alignment horizontal="left"/>
      <protection locked="0"/>
    </xf>
    <xf numFmtId="0" fontId="143" fillId="45" borderId="66" xfId="8723" applyFont="1" applyFill="1" applyBorder="1" applyAlignment="1">
      <alignment horizontal="center"/>
    </xf>
    <xf numFmtId="0" fontId="143" fillId="45" borderId="29" xfId="8723" applyFont="1" applyFill="1" applyBorder="1" applyAlignment="1">
      <alignment horizontal="center"/>
    </xf>
    <xf numFmtId="0" fontId="143" fillId="45" borderId="31" xfId="8723" applyFont="1" applyFill="1" applyBorder="1" applyAlignment="1">
      <alignment horizontal="center"/>
    </xf>
    <xf numFmtId="0" fontId="161" fillId="44" borderId="81" xfId="8723" applyFont="1" applyFill="1" applyBorder="1" applyAlignment="1" applyProtection="1">
      <alignment horizontal="right"/>
      <protection locked="0"/>
    </xf>
    <xf numFmtId="0" fontId="161" fillId="44" borderId="11" xfId="8723" applyFont="1" applyFill="1" applyBorder="1" applyAlignment="1" applyProtection="1">
      <alignment horizontal="right"/>
      <protection locked="0"/>
    </xf>
    <xf numFmtId="0" fontId="161" fillId="44" borderId="92" xfId="8723" applyFont="1" applyFill="1" applyBorder="1" applyAlignment="1" applyProtection="1">
      <alignment horizontal="right"/>
      <protection locked="0"/>
    </xf>
    <xf numFmtId="0" fontId="161" fillId="49" borderId="5" xfId="8723" applyFont="1" applyFill="1" applyBorder="1" applyAlignment="1" applyProtection="1">
      <alignment horizontal="left"/>
      <protection locked="0"/>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47" fillId="45" borderId="73" xfId="8723" applyFont="1" applyFill="1" applyBorder="1" applyAlignment="1">
      <alignment horizontal="center"/>
    </xf>
    <xf numFmtId="0" fontId="147" fillId="45" borderId="74" xfId="8723" applyFont="1" applyFill="1" applyBorder="1" applyAlignment="1">
      <alignment horizontal="center"/>
    </xf>
    <xf numFmtId="168" fontId="147" fillId="45" borderId="74" xfId="8724" applyNumberFormat="1" applyFont="1" applyFill="1" applyBorder="1" applyAlignment="1">
      <alignment horizontal="center"/>
    </xf>
    <xf numFmtId="1" fontId="147" fillId="45" borderId="74" xfId="8724" applyNumberFormat="1" applyFont="1" applyFill="1" applyBorder="1" applyAlignment="1">
      <alignment horizontal="center"/>
    </xf>
    <xf numFmtId="0" fontId="147" fillId="45" borderId="74" xfId="8724" applyNumberFormat="1" applyFont="1" applyFill="1" applyBorder="1" applyAlignment="1">
      <alignment horizontal="center"/>
    </xf>
    <xf numFmtId="0" fontId="147" fillId="45" borderId="94" xfId="8724" applyNumberFormat="1" applyFont="1" applyFill="1" applyBorder="1" applyAlignment="1">
      <alignment horizontal="center"/>
    </xf>
    <xf numFmtId="0" fontId="146" fillId="49" borderId="90" xfId="8723" applyFont="1" applyFill="1" applyBorder="1" applyAlignment="1" applyProtection="1">
      <alignment horizontal="left"/>
      <protection locked="0"/>
    </xf>
    <xf numFmtId="0" fontId="146" fillId="49" borderId="72" xfId="8723" applyFont="1" applyFill="1" applyBorder="1" applyAlignment="1" applyProtection="1">
      <alignment horizontal="left"/>
      <protection locked="0"/>
    </xf>
    <xf numFmtId="0" fontId="146" fillId="49" borderId="75" xfId="8723" applyFont="1" applyFill="1" applyBorder="1" applyAlignment="1" applyProtection="1">
      <alignment horizontal="left"/>
      <protection locked="0"/>
    </xf>
    <xf numFmtId="0" fontId="143" fillId="45" borderId="81" xfId="8723" applyFont="1" applyFill="1" applyBorder="1" applyAlignment="1">
      <alignment horizontal="center"/>
    </xf>
    <xf numFmtId="0" fontId="143" fillId="45" borderId="11" xfId="8723" applyFont="1" applyFill="1" applyBorder="1" applyAlignment="1">
      <alignment horizontal="center"/>
    </xf>
    <xf numFmtId="0" fontId="143" fillId="45" borderId="3" xfId="8723" applyFont="1" applyFill="1" applyBorder="1" applyAlignment="1">
      <alignment horizontal="center"/>
    </xf>
    <xf numFmtId="0" fontId="143" fillId="45" borderId="4" xfId="8723" applyFont="1" applyFill="1" applyBorder="1" applyAlignment="1">
      <alignment horizontal="center"/>
    </xf>
    <xf numFmtId="0" fontId="143" fillId="45" borderId="80" xfId="8723" applyFont="1" applyFill="1" applyBorder="1" applyAlignment="1">
      <alignment horizontal="center"/>
    </xf>
    <xf numFmtId="0" fontId="99" fillId="45" borderId="73" xfId="8723" applyFont="1" applyFill="1" applyBorder="1" applyAlignment="1">
      <alignment horizontal="center"/>
    </xf>
    <xf numFmtId="0" fontId="99" fillId="45" borderId="74" xfId="8723" applyFont="1" applyFill="1" applyBorder="1" applyAlignment="1">
      <alignment horizontal="center"/>
    </xf>
    <xf numFmtId="14" fontId="146" fillId="49" borderId="84" xfId="8723" applyNumberFormat="1" applyFont="1" applyFill="1" applyBorder="1" applyAlignment="1" applyProtection="1">
      <alignment horizontal="center"/>
      <protection locked="0"/>
    </xf>
    <xf numFmtId="0" fontId="146" fillId="49" borderId="74" xfId="8723" applyFont="1" applyFill="1" applyBorder="1" applyAlignment="1" applyProtection="1">
      <alignment horizontal="center"/>
      <protection locked="0"/>
    </xf>
    <xf numFmtId="0" fontId="146" fillId="49" borderId="94" xfId="8723" applyFont="1" applyFill="1" applyBorder="1" applyAlignment="1" applyProtection="1">
      <alignment horizontal="center"/>
      <protection locked="0"/>
    </xf>
    <xf numFmtId="0" fontId="161" fillId="44" borderId="73" xfId="8723" applyFont="1" applyFill="1" applyBorder="1" applyAlignment="1" applyProtection="1">
      <alignment horizontal="right"/>
      <protection locked="0"/>
    </xf>
    <xf numFmtId="0" fontId="161" fillId="44" borderId="74" xfId="8723" applyFont="1" applyFill="1" applyBorder="1" applyAlignment="1" applyProtection="1">
      <alignment horizontal="right"/>
      <protection locked="0"/>
    </xf>
    <xf numFmtId="0" fontId="161" fillId="44" borderId="94" xfId="8723" applyFont="1" applyFill="1" applyBorder="1" applyAlignment="1" applyProtection="1">
      <alignment horizontal="right"/>
      <protection locked="0"/>
    </xf>
    <xf numFmtId="0" fontId="161" fillId="49" borderId="84" xfId="8723" applyFont="1" applyFill="1" applyBorder="1" applyAlignment="1" applyProtection="1">
      <alignment horizontal="left"/>
      <protection locked="0"/>
    </xf>
    <xf numFmtId="0" fontId="161" fillId="49" borderId="74" xfId="8723" applyFont="1" applyFill="1" applyBorder="1" applyAlignment="1" applyProtection="1">
      <alignment horizontal="left"/>
      <protection locked="0"/>
    </xf>
    <xf numFmtId="0" fontId="161" fillId="49" borderId="94" xfId="8723" applyFont="1" applyFill="1" applyBorder="1" applyAlignment="1" applyProtection="1">
      <alignment horizontal="left"/>
      <protection locked="0"/>
    </xf>
    <xf numFmtId="168" fontId="163" fillId="49" borderId="11" xfId="700" applyNumberFormat="1" applyFont="1" applyFill="1" applyBorder="1" applyAlignment="1" applyProtection="1">
      <alignment horizontal="left"/>
      <protection locked="0"/>
    </xf>
    <xf numFmtId="168" fontId="163" fillId="49" borderId="92" xfId="700" applyNumberFormat="1" applyFont="1" applyFill="1" applyBorder="1" applyAlignment="1" applyProtection="1">
      <alignment horizontal="left"/>
      <protection locked="0"/>
    </xf>
    <xf numFmtId="0" fontId="161" fillId="49" borderId="72" xfId="8723" applyFont="1" applyFill="1" applyBorder="1" applyAlignment="1" applyProtection="1">
      <alignment horizontal="left"/>
      <protection locked="0"/>
    </xf>
    <xf numFmtId="0" fontId="161" fillId="49" borderId="75" xfId="8723" applyFont="1" applyFill="1" applyBorder="1" applyAlignment="1" applyProtection="1">
      <alignment horizontal="left"/>
      <protection locked="0"/>
    </xf>
    <xf numFmtId="0" fontId="143" fillId="45" borderId="73" xfId="8723" applyFont="1" applyFill="1" applyBorder="1" applyAlignment="1">
      <alignment horizontal="center"/>
    </xf>
    <xf numFmtId="0" fontId="143" fillId="45" borderId="74" xfId="8723" applyFont="1" applyFill="1" applyBorder="1" applyAlignment="1">
      <alignment horizontal="center"/>
    </xf>
    <xf numFmtId="0" fontId="99" fillId="45" borderId="71" xfId="8723" applyFont="1" applyFill="1" applyBorder="1" applyAlignment="1">
      <alignment horizontal="center"/>
    </xf>
    <xf numFmtId="0" fontId="99" fillId="45" borderId="72" xfId="8723" applyFont="1" applyFill="1" applyBorder="1" applyAlignment="1">
      <alignment horizontal="center"/>
    </xf>
    <xf numFmtId="0" fontId="143" fillId="45" borderId="96" xfId="8723" applyFont="1" applyFill="1" applyBorder="1" applyAlignment="1">
      <alignment horizontal="center"/>
    </xf>
    <xf numFmtId="0" fontId="143" fillId="45" borderId="13" xfId="8723" applyFont="1" applyFill="1" applyBorder="1" applyAlignment="1">
      <alignment horizontal="center"/>
    </xf>
    <xf numFmtId="0" fontId="161" fillId="49" borderId="81" xfId="8723" applyFont="1" applyFill="1" applyBorder="1" applyAlignment="1" applyProtection="1">
      <alignment horizontal="left" vertical="top"/>
      <protection locked="0"/>
    </xf>
    <xf numFmtId="0" fontId="161" fillId="49" borderId="11" xfId="8723" applyFont="1" applyFill="1" applyBorder="1" applyAlignment="1" applyProtection="1">
      <alignment horizontal="left" vertical="top"/>
      <protection locked="0"/>
    </xf>
    <xf numFmtId="0" fontId="161" fillId="49" borderId="92" xfId="8723" applyFont="1" applyFill="1" applyBorder="1" applyAlignment="1" applyProtection="1">
      <alignment horizontal="left" vertical="top"/>
      <protection locked="0"/>
    </xf>
    <xf numFmtId="0" fontId="161" fillId="49" borderId="73" xfId="8723" applyFont="1" applyFill="1" applyBorder="1" applyAlignment="1" applyProtection="1">
      <alignment horizontal="left" vertical="top"/>
      <protection locked="0"/>
    </xf>
    <xf numFmtId="0" fontId="161" fillId="49" borderId="74" xfId="8723" applyFont="1" applyFill="1" applyBorder="1" applyAlignment="1" applyProtection="1">
      <alignment horizontal="left" vertical="top"/>
      <protection locked="0"/>
    </xf>
    <xf numFmtId="0" fontId="161" fillId="49" borderId="94" xfId="8723" applyFont="1" applyFill="1" applyBorder="1" applyAlignment="1" applyProtection="1">
      <alignment horizontal="left" vertical="top"/>
      <protection locked="0"/>
    </xf>
    <xf numFmtId="0" fontId="161" fillId="49" borderId="81" xfId="8723" applyFont="1" applyFill="1" applyBorder="1" applyAlignment="1" applyProtection="1">
      <alignment horizontal="center"/>
      <protection locked="0"/>
    </xf>
    <xf numFmtId="0" fontId="143" fillId="45" borderId="95" xfId="8723" applyFont="1" applyFill="1" applyBorder="1" applyAlignment="1">
      <alignment horizontal="right"/>
    </xf>
    <xf numFmtId="0" fontId="143" fillId="45" borderId="43" xfId="8723" applyFont="1" applyFill="1" applyBorder="1" applyAlignment="1">
      <alignment horizontal="right"/>
    </xf>
    <xf numFmtId="168" fontId="143" fillId="45" borderId="43" xfId="8723" applyNumberFormat="1" applyFont="1" applyFill="1" applyBorder="1" applyAlignment="1">
      <alignment horizontal="left"/>
    </xf>
    <xf numFmtId="168" fontId="143" fillId="45" borderId="97" xfId="8723" applyNumberFormat="1" applyFont="1" applyFill="1" applyBorder="1" applyAlignment="1">
      <alignment horizontal="left"/>
    </xf>
    <xf numFmtId="0" fontId="99" fillId="45" borderId="71" xfId="8723" applyFont="1" applyFill="1" applyBorder="1" applyAlignment="1">
      <alignment horizontal="center" wrapText="1"/>
    </xf>
    <xf numFmtId="0" fontId="99" fillId="45" borderId="72" xfId="8723" applyFont="1" applyFill="1" applyBorder="1" applyAlignment="1">
      <alignment horizontal="center" wrapText="1"/>
    </xf>
    <xf numFmtId="0" fontId="99" fillId="45" borderId="75" xfId="8723" applyFont="1" applyFill="1" applyBorder="1" applyAlignment="1">
      <alignment horizontal="center" wrapText="1"/>
    </xf>
    <xf numFmtId="0" fontId="99" fillId="45" borderId="71" xfId="8723" applyFont="1" applyFill="1" applyBorder="1" applyAlignment="1">
      <alignment horizontal="left" wrapText="1"/>
    </xf>
    <xf numFmtId="0" fontId="99" fillId="45" borderId="72" xfId="8723" applyFont="1" applyFill="1" applyBorder="1" applyAlignment="1">
      <alignment horizontal="left" wrapText="1"/>
    </xf>
    <xf numFmtId="0" fontId="99" fillId="45" borderId="81" xfId="8723" applyFont="1" applyFill="1" applyBorder="1" applyAlignment="1">
      <alignment horizontal="left" wrapText="1"/>
    </xf>
    <xf numFmtId="0" fontId="99" fillId="45" borderId="11" xfId="8723" applyFont="1" applyFill="1" applyBorder="1" applyAlignment="1">
      <alignment horizontal="left" wrapText="1"/>
    </xf>
    <xf numFmtId="0" fontId="146" fillId="49" borderId="72" xfId="8723" applyFont="1" applyFill="1" applyBorder="1" applyAlignment="1" applyProtection="1">
      <alignment horizontal="left" wrapText="1"/>
      <protection locked="0"/>
    </xf>
    <xf numFmtId="0" fontId="146" fillId="49" borderId="75" xfId="8723" applyFont="1" applyFill="1" applyBorder="1" applyAlignment="1" applyProtection="1">
      <alignment horizontal="left" wrapText="1"/>
      <protection locked="0"/>
    </xf>
    <xf numFmtId="0" fontId="146" fillId="49" borderId="11" xfId="8723" applyFont="1" applyFill="1" applyBorder="1" applyAlignment="1" applyProtection="1">
      <alignment horizontal="left" wrapText="1"/>
      <protection locked="0"/>
    </xf>
    <xf numFmtId="0" fontId="146" fillId="49" borderId="92" xfId="8723" applyFont="1" applyFill="1" applyBorder="1" applyAlignment="1" applyProtection="1">
      <alignment horizontal="left" wrapText="1"/>
      <protection locked="0"/>
    </xf>
    <xf numFmtId="0" fontId="147" fillId="45" borderId="11" xfId="8723" applyFont="1" applyFill="1" applyBorder="1" applyAlignment="1">
      <alignment horizontal="center" wrapText="1"/>
    </xf>
    <xf numFmtId="0" fontId="2" fillId="49" borderId="11" xfId="8723" applyFill="1" applyBorder="1" applyAlignment="1" applyProtection="1">
      <alignment horizontal="center"/>
      <protection locked="0"/>
    </xf>
    <xf numFmtId="0" fontId="161" fillId="49" borderId="81" xfId="8723" applyFont="1" applyFill="1" applyBorder="1" applyAlignment="1">
      <alignment horizontal="left" vertical="top"/>
    </xf>
    <xf numFmtId="0" fontId="161" fillId="49" borderId="11" xfId="8723" applyFont="1" applyFill="1" applyBorder="1" applyAlignment="1">
      <alignment horizontal="left" vertical="top"/>
    </xf>
    <xf numFmtId="0" fontId="161" fillId="49" borderId="92" xfId="8723" applyFont="1" applyFill="1" applyBorder="1" applyAlignment="1">
      <alignment horizontal="left" vertical="top"/>
    </xf>
    <xf numFmtId="0" fontId="161" fillId="49" borderId="73" xfId="8723" applyFont="1" applyFill="1" applyBorder="1" applyAlignment="1">
      <alignment horizontal="left" vertical="top"/>
    </xf>
    <xf numFmtId="0" fontId="161" fillId="49" borderId="74" xfId="8723" applyFont="1" applyFill="1" applyBorder="1" applyAlignment="1">
      <alignment horizontal="left" vertical="top"/>
    </xf>
    <xf numFmtId="0" fontId="161" fillId="49" borderId="94" xfId="8723" applyFont="1" applyFill="1" applyBorder="1" applyAlignment="1">
      <alignment horizontal="left" vertical="top"/>
    </xf>
    <xf numFmtId="0" fontId="2" fillId="49" borderId="74" xfId="8723" applyFill="1" applyBorder="1" applyAlignment="1" applyProtection="1">
      <alignment horizontal="center"/>
      <protection locked="0"/>
    </xf>
    <xf numFmtId="0" fontId="2" fillId="49" borderId="94" xfId="8723" applyFill="1" applyBorder="1" applyAlignment="1" applyProtection="1">
      <alignment horizontal="center"/>
      <protection locked="0"/>
    </xf>
    <xf numFmtId="0" fontId="2" fillId="49" borderId="92" xfId="8723" applyFill="1" applyBorder="1" applyAlignment="1" applyProtection="1">
      <alignment horizontal="center"/>
      <protection locked="0"/>
    </xf>
    <xf numFmtId="0" fontId="99" fillId="45" borderId="75" xfId="8723" applyFont="1" applyFill="1" applyBorder="1" applyAlignment="1">
      <alignment horizontal="center"/>
    </xf>
    <xf numFmtId="0" fontId="2" fillId="47" borderId="74" xfId="8723" applyFill="1" applyBorder="1" applyAlignment="1" applyProtection="1">
      <alignment horizontal="center"/>
      <protection locked="0"/>
    </xf>
    <xf numFmtId="0" fontId="2" fillId="47" borderId="94" xfId="8723" applyFill="1" applyBorder="1" applyAlignment="1" applyProtection="1">
      <alignment horizontal="center"/>
      <protection locked="0"/>
    </xf>
    <xf numFmtId="0" fontId="99" fillId="45" borderId="81" xfId="8723" applyFont="1" applyFill="1" applyBorder="1" applyAlignment="1">
      <alignment horizontal="center"/>
    </xf>
    <xf numFmtId="0" fontId="99" fillId="45" borderId="11" xfId="8723" applyFont="1" applyFill="1" applyBorder="1" applyAlignment="1">
      <alignment horizontal="center"/>
    </xf>
    <xf numFmtId="0" fontId="148" fillId="45" borderId="11" xfId="8723" applyFont="1" applyFill="1" applyBorder="1" applyAlignment="1">
      <alignment horizontal="center" wrapText="1"/>
    </xf>
    <xf numFmtId="0" fontId="148" fillId="45" borderId="92" xfId="8723" applyFont="1" applyFill="1" applyBorder="1" applyAlignment="1">
      <alignment horizontal="center" wrapText="1"/>
    </xf>
    <xf numFmtId="0" fontId="99" fillId="45" borderId="75" xfId="8723" applyFont="1" applyFill="1" applyBorder="1" applyAlignment="1">
      <alignment horizontal="left" wrapText="1"/>
    </xf>
    <xf numFmtId="0" fontId="99" fillId="45" borderId="92" xfId="8723" applyFont="1" applyFill="1" applyBorder="1" applyAlignment="1">
      <alignment horizontal="left" wrapText="1"/>
    </xf>
    <xf numFmtId="0" fontId="99" fillId="45" borderId="66" xfId="8723" applyFont="1" applyFill="1" applyBorder="1" applyAlignment="1">
      <alignment horizontal="center"/>
    </xf>
    <xf numFmtId="0" fontId="99" fillId="45" borderId="29" xfId="8723" applyFont="1" applyFill="1" applyBorder="1" applyAlignment="1">
      <alignment horizontal="center"/>
    </xf>
    <xf numFmtId="0" fontId="99" fillId="45" borderId="31" xfId="8723" applyFont="1" applyFill="1" applyBorder="1" applyAlignment="1">
      <alignment horizontal="center"/>
    </xf>
    <xf numFmtId="0" fontId="158" fillId="45" borderId="11" xfId="8723" applyFont="1" applyFill="1" applyBorder="1" applyAlignment="1">
      <alignment horizontal="left"/>
    </xf>
    <xf numFmtId="0" fontId="158" fillId="45" borderId="92" xfId="8723" applyFont="1" applyFill="1" applyBorder="1" applyAlignment="1">
      <alignment horizontal="left"/>
    </xf>
    <xf numFmtId="0" fontId="159" fillId="45" borderId="81" xfId="8723" applyFont="1" applyFill="1" applyBorder="1" applyAlignment="1">
      <alignment horizontal="left"/>
    </xf>
    <xf numFmtId="0" fontId="159" fillId="45" borderId="11" xfId="8723" applyFont="1" applyFill="1" applyBorder="1" applyAlignment="1">
      <alignment horizontal="left"/>
    </xf>
    <xf numFmtId="0" fontId="159" fillId="45" borderId="73" xfId="8723" applyFont="1" applyFill="1" applyBorder="1" applyAlignment="1">
      <alignment horizontal="left"/>
    </xf>
    <xf numFmtId="0" fontId="159" fillId="45" borderId="74" xfId="8723" applyFont="1" applyFill="1" applyBorder="1" applyAlignment="1">
      <alignment horizontal="left"/>
    </xf>
    <xf numFmtId="0" fontId="143" fillId="45" borderId="71" xfId="8723" applyFont="1" applyFill="1" applyBorder="1" applyAlignment="1">
      <alignment horizontal="left"/>
    </xf>
    <xf numFmtId="0" fontId="143" fillId="45" borderId="72" xfId="8723" applyFont="1" applyFill="1" applyBorder="1" applyAlignment="1">
      <alignment horizontal="left"/>
    </xf>
    <xf numFmtId="0" fontId="152" fillId="45" borderId="81" xfId="8723" applyFont="1" applyFill="1" applyBorder="1" applyAlignment="1">
      <alignment horizontal="left"/>
    </xf>
    <xf numFmtId="0" fontId="152" fillId="45" borderId="11" xfId="8723" applyFont="1" applyFill="1" applyBorder="1" applyAlignment="1">
      <alignment horizontal="left"/>
    </xf>
    <xf numFmtId="0" fontId="162" fillId="49" borderId="11" xfId="8723" applyFont="1" applyFill="1" applyBorder="1" applyAlignment="1" applyProtection="1">
      <alignment horizontal="left"/>
      <protection locked="0"/>
    </xf>
    <xf numFmtId="0" fontId="162"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left" vertical="top"/>
      <protection locked="0"/>
    </xf>
    <xf numFmtId="0" fontId="163" fillId="49" borderId="11" xfId="8723" applyFont="1" applyFill="1" applyBorder="1" applyAlignment="1" applyProtection="1">
      <alignment horizontal="left" vertical="top"/>
      <protection locked="0"/>
    </xf>
    <xf numFmtId="0" fontId="163" fillId="49" borderId="92" xfId="8723" applyFont="1" applyFill="1" applyBorder="1" applyAlignment="1" applyProtection="1">
      <alignment horizontal="left" vertical="top"/>
      <protection locked="0"/>
    </xf>
    <xf numFmtId="0" fontId="163" fillId="49" borderId="73" xfId="8723" applyFont="1" applyFill="1" applyBorder="1" applyAlignment="1" applyProtection="1">
      <alignment horizontal="left" vertical="top"/>
      <protection locked="0"/>
    </xf>
    <xf numFmtId="0" fontId="163" fillId="49" borderId="74" xfId="8723" applyFont="1" applyFill="1" applyBorder="1" applyAlignment="1" applyProtection="1">
      <alignment horizontal="left" vertical="top"/>
      <protection locked="0"/>
    </xf>
    <xf numFmtId="0" fontId="163" fillId="49" borderId="94" xfId="8723" applyFont="1" applyFill="1" applyBorder="1" applyAlignment="1" applyProtection="1">
      <alignment horizontal="left" vertical="top"/>
      <protection locked="0"/>
    </xf>
    <xf numFmtId="0" fontId="171" fillId="45" borderId="81" xfId="8723" applyFont="1" applyFill="1" applyBorder="1" applyAlignment="1">
      <alignment horizontal="center"/>
    </xf>
    <xf numFmtId="0" fontId="171" fillId="45" borderId="11" xfId="8723" applyFont="1" applyFill="1" applyBorder="1" applyAlignment="1">
      <alignment horizontal="center"/>
    </xf>
    <xf numFmtId="0" fontId="163" fillId="49" borderId="11" xfId="8723" applyFont="1" applyFill="1" applyBorder="1" applyAlignment="1" applyProtection="1">
      <alignment horizontal="center"/>
      <protection locked="0"/>
    </xf>
    <xf numFmtId="14" fontId="161" fillId="49" borderId="11" xfId="8723" applyNumberFormat="1" applyFont="1" applyFill="1" applyBorder="1" applyAlignment="1" applyProtection="1">
      <alignment horizontal="center"/>
      <protection locked="0"/>
    </xf>
    <xf numFmtId="14" fontId="163" fillId="49" borderId="11" xfId="8723" applyNumberFormat="1" applyFont="1" applyFill="1" applyBorder="1" applyAlignment="1" applyProtection="1">
      <alignment horizontal="center"/>
      <protection locked="0"/>
    </xf>
    <xf numFmtId="0" fontId="99" fillId="45" borderId="92" xfId="8723" applyFont="1" applyFill="1" applyBorder="1" applyAlignment="1">
      <alignment horizontal="center"/>
    </xf>
    <xf numFmtId="168" fontId="163" fillId="49" borderId="11" xfId="8724" applyNumberFormat="1" applyFont="1" applyFill="1" applyBorder="1" applyAlignment="1" applyProtection="1">
      <alignment horizontal="center"/>
      <protection locked="0"/>
    </xf>
    <xf numFmtId="168" fontId="163" fillId="49" borderId="92" xfId="8724" applyNumberFormat="1" applyFont="1" applyFill="1" applyBorder="1" applyAlignment="1" applyProtection="1">
      <alignment horizontal="center"/>
      <protection locked="0"/>
    </xf>
    <xf numFmtId="0" fontId="157" fillId="49" borderId="11" xfId="8723" applyFont="1" applyFill="1" applyBorder="1" applyAlignment="1" applyProtection="1">
      <alignment horizontal="left"/>
      <protection locked="0"/>
    </xf>
    <xf numFmtId="0" fontId="171" fillId="45" borderId="73" xfId="8723" applyFont="1" applyFill="1" applyBorder="1" applyAlignment="1">
      <alignment horizontal="center"/>
    </xf>
    <xf numFmtId="0" fontId="171" fillId="45" borderId="74" xfId="8723" applyFont="1" applyFill="1" applyBorder="1" applyAlignment="1">
      <alignment horizontal="center"/>
    </xf>
    <xf numFmtId="0" fontId="157" fillId="49" borderId="74" xfId="8723" applyFont="1" applyFill="1" applyBorder="1" applyAlignment="1" applyProtection="1">
      <alignment horizontal="left"/>
      <protection locked="0"/>
    </xf>
    <xf numFmtId="0" fontId="163" fillId="49" borderId="74" xfId="8723" applyFont="1" applyFill="1" applyBorder="1" applyAlignment="1" applyProtection="1">
      <alignment horizontal="center"/>
      <protection locked="0"/>
    </xf>
    <xf numFmtId="14" fontId="163" fillId="49" borderId="74" xfId="8723" applyNumberFormat="1" applyFont="1" applyFill="1" applyBorder="1" applyAlignment="1" applyProtection="1">
      <alignment horizontal="center"/>
      <protection locked="0"/>
    </xf>
    <xf numFmtId="168" fontId="163" fillId="49" borderId="74" xfId="8724" applyNumberFormat="1" applyFont="1" applyFill="1" applyBorder="1" applyAlignment="1" applyProtection="1">
      <alignment horizontal="center"/>
      <protection locked="0"/>
    </xf>
    <xf numFmtId="168" fontId="163" fillId="49" borderId="94" xfId="8724" applyNumberFormat="1" applyFont="1" applyFill="1" applyBorder="1" applyAlignment="1" applyProtection="1">
      <alignment horizontal="center"/>
      <protection locked="0"/>
    </xf>
    <xf numFmtId="14" fontId="161" fillId="49" borderId="92" xfId="8723" applyNumberFormat="1" applyFont="1" applyFill="1" applyBorder="1" applyAlignment="1" applyProtection="1">
      <alignment horizontal="center"/>
      <protection locked="0"/>
    </xf>
    <xf numFmtId="0" fontId="143" fillId="45" borderId="75" xfId="8723" applyFont="1" applyFill="1" applyBorder="1" applyAlignment="1">
      <alignment horizontal="left"/>
    </xf>
    <xf numFmtId="0" fontId="161" fillId="45" borderId="81" xfId="8723" applyFont="1" applyFill="1" applyBorder="1" applyAlignment="1">
      <alignment horizontal="right"/>
    </xf>
    <xf numFmtId="0" fontId="161" fillId="45" borderId="11" xfId="8723" applyFont="1" applyFill="1" applyBorder="1" applyAlignment="1">
      <alignment horizontal="right"/>
    </xf>
    <xf numFmtId="168" fontId="163" fillId="44" borderId="11" xfId="700" applyNumberFormat="1" applyFont="1" applyFill="1" applyBorder="1" applyAlignment="1">
      <alignment horizontal="left"/>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63" fillId="45" borderId="81" xfId="8723" applyFont="1" applyFill="1" applyBorder="1" applyAlignment="1">
      <alignment horizontal="right"/>
    </xf>
    <xf numFmtId="0" fontId="163" fillId="45" borderId="11" xfId="8723" applyFont="1" applyFill="1" applyBorder="1" applyAlignment="1">
      <alignment horizontal="right"/>
    </xf>
    <xf numFmtId="0" fontId="161" fillId="49" borderId="73" xfId="8723" applyFont="1" applyFill="1" applyBorder="1" applyAlignment="1" applyProtection="1">
      <alignment horizontal="center"/>
      <protection locked="0"/>
    </xf>
    <xf numFmtId="0" fontId="161" fillId="49" borderId="74" xfId="8723" applyFont="1" applyFill="1" applyBorder="1" applyAlignment="1" applyProtection="1">
      <alignment horizontal="center"/>
      <protection locked="0"/>
    </xf>
    <xf numFmtId="14" fontId="161" fillId="49" borderId="74" xfId="8723" applyNumberFormat="1" applyFont="1" applyFill="1" applyBorder="1" applyAlignment="1" applyProtection="1">
      <alignment horizontal="center"/>
      <protection locked="0"/>
    </xf>
    <xf numFmtId="14" fontId="161" fillId="49" borderId="94" xfId="8723" applyNumberFormat="1" applyFont="1" applyFill="1" applyBorder="1" applyAlignment="1" applyProtection="1">
      <alignment horizontal="center"/>
      <protection locked="0"/>
    </xf>
    <xf numFmtId="0" fontId="99" fillId="0" borderId="0" xfId="8723" applyFont="1" applyAlignment="1">
      <alignment horizontal="left" wrapText="1"/>
    </xf>
    <xf numFmtId="0" fontId="148" fillId="45" borderId="82" xfId="8723" applyFont="1" applyFill="1" applyBorder="1" applyAlignment="1">
      <alignment horizontal="center"/>
    </xf>
    <xf numFmtId="0" fontId="148" fillId="45" borderId="83" xfId="8723" applyFont="1" applyFill="1" applyBorder="1" applyAlignment="1">
      <alignment horizontal="center"/>
    </xf>
    <xf numFmtId="168" fontId="157" fillId="44" borderId="74" xfId="8724" applyNumberFormat="1" applyFont="1" applyFill="1" applyBorder="1" applyAlignment="1">
      <alignment horizontal="left"/>
    </xf>
    <xf numFmtId="168" fontId="157" fillId="44" borderId="94" xfId="8724" applyNumberFormat="1" applyFont="1" applyFill="1" applyBorder="1" applyAlignment="1">
      <alignment horizontal="left"/>
    </xf>
    <xf numFmtId="168" fontId="161" fillId="44" borderId="11" xfId="700" applyNumberFormat="1" applyFont="1" applyFill="1" applyBorder="1" applyAlignment="1">
      <alignment horizontal="left"/>
    </xf>
    <xf numFmtId="0" fontId="147" fillId="45" borderId="66" xfId="8723" applyFont="1" applyFill="1" applyBorder="1" applyAlignment="1">
      <alignment horizontal="center"/>
    </xf>
    <xf numFmtId="0" fontId="147" fillId="45" borderId="29" xfId="8723" applyFont="1" applyFill="1" applyBorder="1" applyAlignment="1">
      <alignment horizontal="center"/>
    </xf>
    <xf numFmtId="0" fontId="147" fillId="45" borderId="28" xfId="8723" applyFont="1" applyFill="1" applyBorder="1" applyAlignment="1">
      <alignment horizontal="center"/>
    </xf>
    <xf numFmtId="0" fontId="147" fillId="45" borderId="104" xfId="8723" applyFont="1" applyFill="1" applyBorder="1" applyAlignment="1">
      <alignment horizontal="center"/>
    </xf>
    <xf numFmtId="0" fontId="147" fillId="45" borderId="6" xfId="8723" applyFont="1" applyFill="1" applyBorder="1" applyAlignment="1">
      <alignment horizontal="center"/>
    </xf>
    <xf numFmtId="0" fontId="147" fillId="45" borderId="10" xfId="8723" applyFont="1" applyFill="1" applyBorder="1" applyAlignment="1">
      <alignment horizontal="center"/>
    </xf>
    <xf numFmtId="164" fontId="148" fillId="45" borderId="100" xfId="8724" applyNumberFormat="1" applyFont="1" applyFill="1" applyBorder="1" applyAlignment="1" applyProtection="1">
      <alignment horizontal="center" wrapText="1"/>
      <protection locked="0"/>
    </xf>
    <xf numFmtId="164" fontId="148" fillId="45" borderId="29" xfId="8724" applyNumberFormat="1" applyFont="1" applyFill="1" applyBorder="1" applyAlignment="1" applyProtection="1">
      <alignment horizontal="center" wrapText="1"/>
      <protection locked="0"/>
    </xf>
    <xf numFmtId="164" fontId="148" fillId="45" borderId="28" xfId="8724" applyNumberFormat="1" applyFont="1" applyFill="1" applyBorder="1" applyAlignment="1" applyProtection="1">
      <alignment horizontal="center" wrapText="1"/>
      <protection locked="0"/>
    </xf>
    <xf numFmtId="164" fontId="148" fillId="45" borderId="9" xfId="8724" applyNumberFormat="1" applyFont="1" applyFill="1" applyBorder="1" applyAlignment="1" applyProtection="1">
      <alignment horizontal="center" wrapText="1"/>
      <protection locked="0"/>
    </xf>
    <xf numFmtId="164" fontId="148" fillId="45" borderId="6" xfId="8724" applyNumberFormat="1" applyFont="1" applyFill="1" applyBorder="1" applyAlignment="1" applyProtection="1">
      <alignment horizontal="center" wrapText="1"/>
      <protection locked="0"/>
    </xf>
    <xf numFmtId="164" fontId="148" fillId="45" borderId="10" xfId="8724" applyNumberFormat="1" applyFont="1" applyFill="1" applyBorder="1" applyAlignment="1" applyProtection="1">
      <alignment horizontal="center" wrapText="1"/>
      <protection locked="0"/>
    </xf>
    <xf numFmtId="164" fontId="148" fillId="45" borderId="31" xfId="8724" applyNumberFormat="1" applyFont="1" applyFill="1" applyBorder="1" applyAlignment="1" applyProtection="1">
      <alignment horizontal="center" wrapText="1"/>
      <protection locked="0"/>
    </xf>
    <xf numFmtId="164" fontId="148" fillId="45" borderId="105" xfId="8724" applyNumberFormat="1" applyFont="1" applyFill="1" applyBorder="1" applyAlignment="1" applyProtection="1">
      <alignment horizontal="center" wrapText="1"/>
      <protection locked="0"/>
    </xf>
    <xf numFmtId="168" fontId="161" fillId="49" borderId="11" xfId="700" applyNumberFormat="1" applyFont="1" applyFill="1" applyBorder="1" applyAlignment="1" applyProtection="1">
      <alignment horizontal="left"/>
    </xf>
    <xf numFmtId="0" fontId="171" fillId="49" borderId="81" xfId="8723" applyFont="1" applyFill="1" applyBorder="1" applyAlignment="1">
      <alignment horizontal="left"/>
    </xf>
    <xf numFmtId="0" fontId="171" fillId="49" borderId="11" xfId="8723" applyFont="1" applyFill="1" applyBorder="1" applyAlignment="1">
      <alignment horizontal="left"/>
    </xf>
    <xf numFmtId="168" fontId="157" fillId="49" borderId="11" xfId="700" applyNumberFormat="1" applyFont="1" applyFill="1" applyBorder="1" applyAlignment="1" applyProtection="1">
      <alignment horizontal="left"/>
      <protection locked="0"/>
    </xf>
    <xf numFmtId="168" fontId="157" fillId="49" borderId="92" xfId="700" applyNumberFormat="1" applyFont="1" applyFill="1" applyBorder="1" applyAlignment="1" applyProtection="1">
      <alignment horizontal="left"/>
      <protection locked="0"/>
    </xf>
    <xf numFmtId="0" fontId="163" fillId="49" borderId="11" xfId="8723" applyFont="1" applyFill="1" applyBorder="1" applyAlignment="1" applyProtection="1">
      <alignment horizontal="left"/>
      <protection locked="0"/>
    </xf>
    <xf numFmtId="0" fontId="163" fillId="49" borderId="81" xfId="8723" applyFont="1" applyFill="1" applyBorder="1" applyAlignment="1" applyProtection="1">
      <alignment horizontal="center"/>
      <protection locked="0"/>
    </xf>
    <xf numFmtId="0" fontId="163" fillId="45" borderId="71" xfId="8723" applyFont="1" applyFill="1" applyBorder="1" applyAlignment="1">
      <alignment horizontal="right"/>
    </xf>
    <xf numFmtId="0" fontId="163" fillId="45" borderId="72" xfId="8723" applyFont="1" applyFill="1" applyBorder="1" applyAlignment="1">
      <alignment horizontal="right"/>
    </xf>
    <xf numFmtId="168" fontId="146" fillId="44" borderId="72" xfId="700" applyNumberFormat="1" applyFont="1" applyFill="1" applyBorder="1" applyAlignment="1">
      <alignment horizontal="left"/>
    </xf>
    <xf numFmtId="168" fontId="146" fillId="44" borderId="75" xfId="700" applyNumberFormat="1" applyFont="1" applyFill="1" applyBorder="1" applyAlignment="1">
      <alignment horizontal="left"/>
    </xf>
    <xf numFmtId="0" fontId="161" fillId="49" borderId="82" xfId="8723" applyFont="1" applyFill="1" applyBorder="1" applyAlignment="1" applyProtection="1">
      <alignment horizontal="center"/>
      <protection locked="0"/>
    </xf>
    <xf numFmtId="0" fontId="161" fillId="49" borderId="83" xfId="8723" applyFont="1" applyFill="1" applyBorder="1" applyAlignment="1" applyProtection="1">
      <alignment horizontal="center"/>
      <protection locked="0"/>
    </xf>
    <xf numFmtId="0" fontId="163" fillId="49" borderId="74" xfId="8723" applyFont="1" applyFill="1" applyBorder="1" applyAlignment="1" applyProtection="1">
      <alignment horizontal="left"/>
      <protection locked="0"/>
    </xf>
    <xf numFmtId="0" fontId="163" fillId="49" borderId="94" xfId="8723" applyFont="1" applyFill="1" applyBorder="1" applyAlignment="1" applyProtection="1">
      <alignment horizontal="left"/>
      <protection locked="0"/>
    </xf>
    <xf numFmtId="168" fontId="161" fillId="49" borderId="83" xfId="700" applyNumberFormat="1" applyFont="1" applyFill="1" applyBorder="1" applyAlignment="1" applyProtection="1">
      <alignment horizontal="left"/>
      <protection locked="0"/>
    </xf>
    <xf numFmtId="168" fontId="161" fillId="49" borderId="86" xfId="700" applyNumberFormat="1" applyFont="1" applyFill="1" applyBorder="1" applyAlignment="1" applyProtection="1">
      <alignment horizontal="left"/>
      <protection locked="0"/>
    </xf>
    <xf numFmtId="0" fontId="161" fillId="49" borderId="82" xfId="8723" applyFont="1" applyFill="1" applyBorder="1" applyAlignment="1" applyProtection="1">
      <alignment horizontal="left"/>
      <protection locked="0"/>
    </xf>
    <xf numFmtId="0" fontId="161" fillId="49" borderId="83" xfId="8723" applyFont="1" applyFill="1" applyBorder="1" applyAlignment="1" applyProtection="1">
      <alignment horizontal="left"/>
      <protection locked="0"/>
    </xf>
    <xf numFmtId="0" fontId="161" fillId="49" borderId="86" xfId="8723" applyFont="1" applyFill="1" applyBorder="1" applyAlignment="1" applyProtection="1">
      <alignment horizontal="left"/>
      <protection locked="0"/>
    </xf>
    <xf numFmtId="0" fontId="172" fillId="48" borderId="66" xfId="8723" applyFont="1" applyFill="1" applyBorder="1" applyAlignment="1">
      <alignment horizontal="center"/>
    </xf>
    <xf numFmtId="0" fontId="172" fillId="48" borderId="29" xfId="8723" applyFont="1" applyFill="1" applyBorder="1" applyAlignment="1">
      <alignment horizontal="center"/>
    </xf>
    <xf numFmtId="0" fontId="172" fillId="48" borderId="31" xfId="8723" applyFont="1" applyFill="1" applyBorder="1" applyAlignment="1">
      <alignment horizontal="center"/>
    </xf>
    <xf numFmtId="0" fontId="2" fillId="48" borderId="67" xfId="8723" applyFill="1" applyBorder="1" applyAlignment="1">
      <alignment horizontal="center"/>
    </xf>
    <xf numFmtId="0" fontId="2" fillId="48" borderId="0" xfId="8723" applyFill="1" applyAlignment="1">
      <alignment horizontal="center"/>
    </xf>
    <xf numFmtId="0" fontId="2" fillId="48" borderId="41" xfId="8723" applyFill="1" applyBorder="1" applyAlignment="1">
      <alignment horizontal="center"/>
    </xf>
    <xf numFmtId="0" fontId="143" fillId="48" borderId="67" xfId="8723" applyFont="1" applyFill="1" applyBorder="1" applyAlignment="1">
      <alignment horizontal="center"/>
    </xf>
    <xf numFmtId="0" fontId="143" fillId="48" borderId="0" xfId="8723" applyFont="1" applyFill="1" applyAlignment="1">
      <alignment horizontal="center"/>
    </xf>
    <xf numFmtId="0" fontId="143" fillId="48" borderId="41" xfId="8723" applyFont="1" applyFill="1" applyBorder="1" applyAlignment="1">
      <alignment horizontal="center"/>
    </xf>
    <xf numFmtId="0" fontId="99" fillId="48" borderId="67" xfId="8723" applyFont="1" applyFill="1" applyBorder="1" applyAlignment="1">
      <alignment horizontal="center"/>
    </xf>
    <xf numFmtId="0" fontId="99" fillId="48" borderId="0" xfId="8723" applyFont="1" applyFill="1" applyAlignment="1">
      <alignment horizontal="center"/>
    </xf>
    <xf numFmtId="0" fontId="99" fillId="48" borderId="41" xfId="8723" applyFont="1" applyFill="1" applyBorder="1" applyAlignment="1">
      <alignment horizontal="center"/>
    </xf>
    <xf numFmtId="0" fontId="99" fillId="48" borderId="0" xfId="8723" applyFont="1" applyFill="1" applyAlignment="1">
      <alignment horizontal="left"/>
    </xf>
    <xf numFmtId="0" fontId="147" fillId="45" borderId="73" xfId="8723" applyFont="1" applyFill="1" applyBorder="1" applyAlignment="1">
      <alignment horizontal="right"/>
    </xf>
    <xf numFmtId="0" fontId="147" fillId="45" borderId="74" xfId="8723" applyFont="1" applyFill="1" applyBorder="1" applyAlignment="1">
      <alignment horizontal="right"/>
    </xf>
    <xf numFmtId="0" fontId="148" fillId="44" borderId="74" xfId="700" applyNumberFormat="1" applyFont="1" applyFill="1" applyBorder="1" applyAlignment="1">
      <alignment horizontal="left"/>
    </xf>
    <xf numFmtId="168" fontId="148" fillId="44" borderId="74" xfId="700" applyNumberFormat="1" applyFont="1" applyFill="1" applyBorder="1" applyAlignment="1">
      <alignment horizontal="left"/>
    </xf>
    <xf numFmtId="168" fontId="148" fillId="44" borderId="94" xfId="700" applyNumberFormat="1" applyFont="1" applyFill="1" applyBorder="1" applyAlignment="1">
      <alignment horizontal="left"/>
    </xf>
    <xf numFmtId="0" fontId="143" fillId="45" borderId="73" xfId="8723" applyFont="1" applyFill="1" applyBorder="1" applyAlignment="1">
      <alignment horizontal="right"/>
    </xf>
    <xf numFmtId="0" fontId="143" fillId="45" borderId="74" xfId="8723" applyFont="1" applyFill="1" applyBorder="1" applyAlignment="1">
      <alignment horizontal="right"/>
    </xf>
    <xf numFmtId="168" fontId="144" fillId="44" borderId="74" xfId="700" applyNumberFormat="1" applyFont="1" applyFill="1" applyBorder="1" applyAlignment="1" applyProtection="1">
      <alignment horizontal="left"/>
      <protection locked="0"/>
    </xf>
    <xf numFmtId="168" fontId="144" fillId="44" borderId="94" xfId="700" applyNumberFormat="1" applyFont="1" applyFill="1" applyBorder="1" applyAlignment="1" applyProtection="1">
      <alignment horizontal="left"/>
      <protection locked="0"/>
    </xf>
    <xf numFmtId="0" fontId="99" fillId="44" borderId="0" xfId="8723" applyFont="1" applyFill="1" applyAlignment="1">
      <alignment horizontal="left"/>
    </xf>
    <xf numFmtId="0" fontId="2" fillId="49" borderId="68" xfId="8723" applyFill="1" applyBorder="1" applyAlignment="1" applyProtection="1">
      <alignment horizontal="left"/>
      <protection locked="0"/>
    </xf>
    <xf numFmtId="0" fontId="2" fillId="49" borderId="69" xfId="8723" applyFill="1" applyBorder="1" applyAlignment="1" applyProtection="1">
      <alignment horizontal="left"/>
      <protection locked="0"/>
    </xf>
    <xf numFmtId="0" fontId="2" fillId="49" borderId="70" xfId="8723" applyFill="1" applyBorder="1" applyAlignment="1" applyProtection="1">
      <alignment horizontal="left"/>
      <protection locked="0"/>
    </xf>
    <xf numFmtId="0" fontId="148" fillId="44" borderId="0" xfId="8723" applyFont="1" applyFill="1" applyAlignment="1">
      <alignment horizontal="left" vertical="top"/>
    </xf>
    <xf numFmtId="0" fontId="99" fillId="44" borderId="0" xfId="4503" applyFont="1" applyFill="1" applyBorder="1" applyAlignment="1">
      <alignment horizontal="left" vertical="top"/>
    </xf>
    <xf numFmtId="14" fontId="2" fillId="49" borderId="68" xfId="8723" applyNumberFormat="1" applyFill="1" applyBorder="1" applyAlignment="1" applyProtection="1">
      <alignment horizontal="center"/>
      <protection locked="0"/>
    </xf>
    <xf numFmtId="0" fontId="2" fillId="49" borderId="69" xfId="8723" applyFill="1" applyBorder="1" applyAlignment="1" applyProtection="1">
      <alignment horizontal="center"/>
      <protection locked="0"/>
    </xf>
    <xf numFmtId="0" fontId="2" fillId="49" borderId="70" xfId="8723" applyFill="1" applyBorder="1" applyAlignment="1" applyProtection="1">
      <alignment horizontal="center"/>
      <protection locked="0"/>
    </xf>
    <xf numFmtId="0" fontId="143" fillId="48" borderId="0" xfId="8723" applyFont="1" applyFill="1" applyAlignment="1">
      <alignment horizontal="left" vertical="top" wrapText="1"/>
    </xf>
    <xf numFmtId="0" fontId="99" fillId="48" borderId="42" xfId="8723" applyFont="1" applyFill="1" applyBorder="1" applyAlignment="1">
      <alignment horizontal="center"/>
    </xf>
    <xf numFmtId="0" fontId="2" fillId="49" borderId="68" xfId="8723" applyFill="1" applyBorder="1" applyAlignment="1" applyProtection="1">
      <alignment horizontal="center"/>
      <protection locked="0"/>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17164">
    <cellStyle name="20% - Accent1" xfId="1" builtinId="30" customBuiltin="1"/>
    <cellStyle name="20% - Accent1 10" xfId="4505" xr:uid="{00000000-0005-0000-0000-000001000000}"/>
    <cellStyle name="20% - Accent1 10 2" xfId="12944" xr:uid="{C318A0F1-870E-4602-8635-5A591D59E53B}"/>
    <cellStyle name="20% - Accent1 11" xfId="8726" xr:uid="{CA5A52FA-890F-4AEC-A1E1-7C89D7535169}"/>
    <cellStyle name="20% - Accent1 2" xfId="2" xr:uid="{00000000-0005-0000-0000-000002000000}"/>
    <cellStyle name="20% - Accent1 2 10" xfId="8727" xr:uid="{3C662384-134C-44E8-98D7-D24654728B88}"/>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5506" xr:uid="{F46C21E1-C46E-438E-9965-C4443E0756B4}"/>
    <cellStyle name="20% - Accent1 2 2 2 2 2 3" xfId="11288" xr:uid="{A1B0ECC8-B8AB-41D4-B186-B85765597DC3}"/>
    <cellStyle name="20% - Accent1 2 2 2 2 3" xfId="4922" xr:uid="{00000000-0005-0000-0000-000008000000}"/>
    <cellStyle name="20% - Accent1 2 2 2 2 3 2" xfId="13361" xr:uid="{CBDAAF42-CA29-478B-8649-3A47EB22CCEE}"/>
    <cellStyle name="20% - Accent1 2 2 2 2 4" xfId="9143" xr:uid="{020F59E4-9083-4D50-9F0F-9E9E7C6F2C35}"/>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15919" xr:uid="{427FD6DB-0849-40BB-9608-49832C9410B6}"/>
    <cellStyle name="20% - Accent1 2 2 2 3 2 3" xfId="11701" xr:uid="{182789C3-5B82-4192-9BE9-558A862624F3}"/>
    <cellStyle name="20% - Accent1 2 2 2 3 3" xfId="5335" xr:uid="{00000000-0005-0000-0000-00000C000000}"/>
    <cellStyle name="20% - Accent1 2 2 2 3 3 2" xfId="13774" xr:uid="{3E0875B9-BB0E-4498-BBC9-FC54C8F2D264}"/>
    <cellStyle name="20% - Accent1 2 2 2 3 4" xfId="9556" xr:uid="{774712EE-4146-4B57-B1CF-F4BFE51B9966}"/>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16332" xr:uid="{3ECE6DDD-F2D2-4AEB-8F84-8BD12975C8A2}"/>
    <cellStyle name="20% - Accent1 2 2 2 4 2 3" xfId="12114" xr:uid="{21F0F19F-0327-4E4A-81A5-EFDF383BB847}"/>
    <cellStyle name="20% - Accent1 2 2 2 4 3" xfId="5748" xr:uid="{00000000-0005-0000-0000-000010000000}"/>
    <cellStyle name="20% - Accent1 2 2 2 4 3 2" xfId="14187" xr:uid="{CCC888AA-C278-499A-8894-97061E5176C6}"/>
    <cellStyle name="20% - Accent1 2 2 2 4 4" xfId="9969" xr:uid="{DD76E3A4-E9EA-4D35-8BA9-32E877A33474}"/>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16745" xr:uid="{5D139D97-4865-44B7-A0A6-98E322604A5D}"/>
    <cellStyle name="20% - Accent1 2 2 2 5 2 3" xfId="12527" xr:uid="{5C1E8EAF-6446-4204-845C-AC3A27C97E03}"/>
    <cellStyle name="20% - Accent1 2 2 2 5 3" xfId="6161" xr:uid="{00000000-0005-0000-0000-000014000000}"/>
    <cellStyle name="20% - Accent1 2 2 2 5 3 2" xfId="14600" xr:uid="{28746F9F-4408-42B9-8BC4-982FACF80C02}"/>
    <cellStyle name="20% - Accent1 2 2 2 5 4" xfId="10382" xr:uid="{5A5A7DF7-E5BF-43E7-A913-8D3D99F741D6}"/>
    <cellStyle name="20% - Accent1 2 2 2 6" xfId="2267" xr:uid="{00000000-0005-0000-0000-000015000000}"/>
    <cellStyle name="20% - Accent1 2 2 2 6 2" xfId="6574" xr:uid="{00000000-0005-0000-0000-000016000000}"/>
    <cellStyle name="20% - Accent1 2 2 2 6 2 2" xfId="15013" xr:uid="{D3BE8B7D-BCF5-4204-81ED-5B63F4AB850E}"/>
    <cellStyle name="20% - Accent1 2 2 2 6 3" xfId="10795" xr:uid="{92691A27-DF3B-4471-86AB-D01C340C10A9}"/>
    <cellStyle name="20% - Accent1 2 2 2 7" xfId="4508" xr:uid="{00000000-0005-0000-0000-000017000000}"/>
    <cellStyle name="20% - Accent1 2 2 2 7 2" xfId="12947" xr:uid="{A7740E86-6EA0-4DEC-9958-E5BF98B82187}"/>
    <cellStyle name="20% - Accent1 2 2 2 8" xfId="8729" xr:uid="{3B04A9CA-D6E4-42FA-A884-32F3CA2FCB88}"/>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5505" xr:uid="{7FA1C1C4-FA89-4AD2-803E-8DE01BDC58F6}"/>
    <cellStyle name="20% - Accent1 2 2 3 2 3" xfId="11287" xr:uid="{CC9A69BA-0BDA-489F-A784-3622B979572F}"/>
    <cellStyle name="20% - Accent1 2 2 3 3" xfId="4921" xr:uid="{00000000-0005-0000-0000-00001B000000}"/>
    <cellStyle name="20% - Accent1 2 2 3 3 2" xfId="13360" xr:uid="{417DA1E4-86DB-4EC0-8B1E-4EEE04DE1CCD}"/>
    <cellStyle name="20% - Accent1 2 2 3 4" xfId="9142" xr:uid="{19DD04FD-6084-40B3-B64E-384431623514}"/>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15918" xr:uid="{6532B861-43C4-420B-B493-2CA2B9B5393E}"/>
    <cellStyle name="20% - Accent1 2 2 4 2 3" xfId="11700" xr:uid="{19642512-3C40-4A2C-8CC4-F8B3E7A9D635}"/>
    <cellStyle name="20% - Accent1 2 2 4 3" xfId="5334" xr:uid="{00000000-0005-0000-0000-00001F000000}"/>
    <cellStyle name="20% - Accent1 2 2 4 3 2" xfId="13773" xr:uid="{1E1D32BD-731A-4E3E-9F4B-B497B71AE64E}"/>
    <cellStyle name="20% - Accent1 2 2 4 4" xfId="9555" xr:uid="{FD40A92C-ADAF-4F33-8FF6-746478327E95}"/>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16331" xr:uid="{5C24BA15-0A69-46E1-9103-3269CDCFDC3E}"/>
    <cellStyle name="20% - Accent1 2 2 5 2 3" xfId="12113" xr:uid="{E54CA74A-C188-4523-8851-D4F37ECB8BFB}"/>
    <cellStyle name="20% - Accent1 2 2 5 3" xfId="5747" xr:uid="{00000000-0005-0000-0000-000023000000}"/>
    <cellStyle name="20% - Accent1 2 2 5 3 2" xfId="14186" xr:uid="{F4B372B6-2401-42A8-B98F-B505D095A2F7}"/>
    <cellStyle name="20% - Accent1 2 2 5 4" xfId="9968" xr:uid="{3E5A431D-9845-468E-BD29-98AC4D151857}"/>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16744" xr:uid="{C84D68A9-74FA-4785-AFB5-9EA86FB8234B}"/>
    <cellStyle name="20% - Accent1 2 2 6 2 3" xfId="12526" xr:uid="{DC8593B9-F0BC-4158-A117-EB7D70092E18}"/>
    <cellStyle name="20% - Accent1 2 2 6 3" xfId="6160" xr:uid="{00000000-0005-0000-0000-000027000000}"/>
    <cellStyle name="20% - Accent1 2 2 6 3 2" xfId="14599" xr:uid="{EF68B5EA-67E3-457A-A41C-ABC2503621BD}"/>
    <cellStyle name="20% - Accent1 2 2 6 4" xfId="10381" xr:uid="{90A81817-70F5-4B9B-96AF-29F75E9CAC9A}"/>
    <cellStyle name="20% - Accent1 2 2 7" xfId="2266" xr:uid="{00000000-0005-0000-0000-000028000000}"/>
    <cellStyle name="20% - Accent1 2 2 7 2" xfId="6573" xr:uid="{00000000-0005-0000-0000-000029000000}"/>
    <cellStyle name="20% - Accent1 2 2 7 2 2" xfId="15012" xr:uid="{413EDE90-038B-4F04-8E10-515EF7A255AA}"/>
    <cellStyle name="20% - Accent1 2 2 7 3" xfId="10794" xr:uid="{15A2A062-AE33-482B-86EF-C13434B2D2FC}"/>
    <cellStyle name="20% - Accent1 2 2 8" xfId="4507" xr:uid="{00000000-0005-0000-0000-00002A000000}"/>
    <cellStyle name="20% - Accent1 2 2 8 2" xfId="12946" xr:uid="{DBD3842D-4DC1-4AFC-8E2C-9DB0FD38DAFA}"/>
    <cellStyle name="20% - Accent1 2 2 9" xfId="8728" xr:uid="{CDACEC3E-DE25-4706-A075-BF1FD2D4C05B}"/>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5507" xr:uid="{4E3BEAB9-0A14-4DD1-AA31-CB3A5878E107}"/>
    <cellStyle name="20% - Accent1 2 3 2 2 3" xfId="11289" xr:uid="{0D5A8AB6-BD3D-4E1A-B3A2-100DF1DCA7BC}"/>
    <cellStyle name="20% - Accent1 2 3 2 3" xfId="4923" xr:uid="{00000000-0005-0000-0000-00002F000000}"/>
    <cellStyle name="20% - Accent1 2 3 2 3 2" xfId="13362" xr:uid="{829B4734-5F51-4121-B0C7-E693D46B46DB}"/>
    <cellStyle name="20% - Accent1 2 3 2 4" xfId="9144" xr:uid="{2AA53700-88F5-4CBD-8926-ADE4B35F88E1}"/>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15920" xr:uid="{B8D50490-E708-4950-B9D6-C348F699EA04}"/>
    <cellStyle name="20% - Accent1 2 3 3 2 3" xfId="11702" xr:uid="{CD1A8BB3-10F3-40E1-B99D-4DFA31D193C5}"/>
    <cellStyle name="20% - Accent1 2 3 3 3" xfId="5336" xr:uid="{00000000-0005-0000-0000-000033000000}"/>
    <cellStyle name="20% - Accent1 2 3 3 3 2" xfId="13775" xr:uid="{3DDE313A-D2CC-42F2-8D82-71D643237220}"/>
    <cellStyle name="20% - Accent1 2 3 3 4" xfId="9557" xr:uid="{FE779A1C-CEF7-4BAC-B37A-8E075E0FD127}"/>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16333" xr:uid="{0234DA88-1E81-4A5B-B829-E02A1564C744}"/>
    <cellStyle name="20% - Accent1 2 3 4 2 3" xfId="12115" xr:uid="{51BC1C77-0EF8-468C-A55A-2019D1520946}"/>
    <cellStyle name="20% - Accent1 2 3 4 3" xfId="5749" xr:uid="{00000000-0005-0000-0000-000037000000}"/>
    <cellStyle name="20% - Accent1 2 3 4 3 2" xfId="14188" xr:uid="{EFB5F4B5-AF07-4FF1-A551-0335A6A46A3A}"/>
    <cellStyle name="20% - Accent1 2 3 4 4" xfId="9970" xr:uid="{93B0A6AD-FEAA-4A18-AD5D-38BA143FBD8F}"/>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16746" xr:uid="{EDA0ADAE-D0A2-49C4-A6EB-6DF4E603E1DB}"/>
    <cellStyle name="20% - Accent1 2 3 5 2 3" xfId="12528" xr:uid="{C2C08FB8-78EF-405F-905F-32840DC63849}"/>
    <cellStyle name="20% - Accent1 2 3 5 3" xfId="6162" xr:uid="{00000000-0005-0000-0000-00003B000000}"/>
    <cellStyle name="20% - Accent1 2 3 5 3 2" xfId="14601" xr:uid="{143B2A1D-D01A-45CD-A4E5-FCD9FB32E047}"/>
    <cellStyle name="20% - Accent1 2 3 5 4" xfId="10383" xr:uid="{BD87B93B-20A5-41EE-B9BA-A842D917480F}"/>
    <cellStyle name="20% - Accent1 2 3 6" xfId="2268" xr:uid="{00000000-0005-0000-0000-00003C000000}"/>
    <cellStyle name="20% - Accent1 2 3 6 2" xfId="6575" xr:uid="{00000000-0005-0000-0000-00003D000000}"/>
    <cellStyle name="20% - Accent1 2 3 6 2 2" xfId="15014" xr:uid="{1673F3FC-E118-40E6-83C9-ADA29B2DBD8D}"/>
    <cellStyle name="20% - Accent1 2 3 6 3" xfId="10796" xr:uid="{2B12D0FB-5BDD-4AD4-8539-5FA278B55ECE}"/>
    <cellStyle name="20% - Accent1 2 3 7" xfId="4509" xr:uid="{00000000-0005-0000-0000-00003E000000}"/>
    <cellStyle name="20% - Accent1 2 3 7 2" xfId="12948" xr:uid="{10C2FA34-415E-4B65-A7CC-B49FB9CE1978}"/>
    <cellStyle name="20% - Accent1 2 3 8" xfId="8730" xr:uid="{54238B08-9100-40ED-BBBD-47B398463D67}"/>
    <cellStyle name="20% - Accent1 2 4" xfId="571" xr:uid="{00000000-0005-0000-0000-00003F000000}"/>
    <cellStyle name="20% - Accent1 2 4 2" xfId="2842" xr:uid="{00000000-0005-0000-0000-000040000000}"/>
    <cellStyle name="20% - Accent1 2 4 2 2" xfId="7065" xr:uid="{00000000-0005-0000-0000-000041000000}"/>
    <cellStyle name="20% - Accent1 2 4 2 2 2" xfId="15504" xr:uid="{4E287024-D9F9-4C29-B4C3-FE701F8C0928}"/>
    <cellStyle name="20% - Accent1 2 4 2 3" xfId="11286" xr:uid="{7D81A0CC-4DDF-417A-809D-1C05576CD74F}"/>
    <cellStyle name="20% - Accent1 2 4 3" xfId="4920" xr:uid="{00000000-0005-0000-0000-000042000000}"/>
    <cellStyle name="20% - Accent1 2 4 3 2" xfId="13359" xr:uid="{C55205DA-E177-4BDE-A044-96811940863A}"/>
    <cellStyle name="20% - Accent1 2 4 4" xfId="9141" xr:uid="{ABA550E7-F3C2-4A9C-8422-D590B59A72C4}"/>
    <cellStyle name="20% - Accent1 2 5" xfId="1024" xr:uid="{00000000-0005-0000-0000-000043000000}"/>
    <cellStyle name="20% - Accent1 2 5 2" xfId="3255" xr:uid="{00000000-0005-0000-0000-000044000000}"/>
    <cellStyle name="20% - Accent1 2 5 2 2" xfId="7478" xr:uid="{00000000-0005-0000-0000-000045000000}"/>
    <cellStyle name="20% - Accent1 2 5 2 2 2" xfId="15917" xr:uid="{DD264F7E-D759-470C-AE91-2512E4CD0024}"/>
    <cellStyle name="20% - Accent1 2 5 2 3" xfId="11699" xr:uid="{A6C3909A-AAF7-4CEA-8DBB-79E6F2F9BA20}"/>
    <cellStyle name="20% - Accent1 2 5 3" xfId="5333" xr:uid="{00000000-0005-0000-0000-000046000000}"/>
    <cellStyle name="20% - Accent1 2 5 3 2" xfId="13772" xr:uid="{8A814886-51DA-4DD0-B4C9-89B5632CF6AD}"/>
    <cellStyle name="20% - Accent1 2 5 4" xfId="9554" xr:uid="{03F43548-6090-4792-87DB-9A9550EE96AA}"/>
    <cellStyle name="20% - Accent1 2 6" xfId="1438" xr:uid="{00000000-0005-0000-0000-000047000000}"/>
    <cellStyle name="20% - Accent1 2 6 2" xfId="3668" xr:uid="{00000000-0005-0000-0000-000048000000}"/>
    <cellStyle name="20% - Accent1 2 6 2 2" xfId="7891" xr:uid="{00000000-0005-0000-0000-000049000000}"/>
    <cellStyle name="20% - Accent1 2 6 2 2 2" xfId="16330" xr:uid="{7EEE72C2-C4FF-4531-B6DA-4CC8EEA760D1}"/>
    <cellStyle name="20% - Accent1 2 6 2 3" xfId="12112" xr:uid="{EEA80C1A-6334-40F5-918E-4F8E4BCC8B2D}"/>
    <cellStyle name="20% - Accent1 2 6 3" xfId="5746" xr:uid="{00000000-0005-0000-0000-00004A000000}"/>
    <cellStyle name="20% - Accent1 2 6 3 2" xfId="14185" xr:uid="{B0D209B6-4EB5-44F7-B243-D5B92A4613C7}"/>
    <cellStyle name="20% - Accent1 2 6 4" xfId="9967" xr:uid="{EB019596-A003-4E1E-987B-E9F15D4B0A8C}"/>
    <cellStyle name="20% - Accent1 2 7" xfId="1852" xr:uid="{00000000-0005-0000-0000-00004B000000}"/>
    <cellStyle name="20% - Accent1 2 7 2" xfId="4081" xr:uid="{00000000-0005-0000-0000-00004C000000}"/>
    <cellStyle name="20% - Accent1 2 7 2 2" xfId="8304" xr:uid="{00000000-0005-0000-0000-00004D000000}"/>
    <cellStyle name="20% - Accent1 2 7 2 2 2" xfId="16743" xr:uid="{818A9F4E-8F4F-4058-8CE6-0D99C5E147F7}"/>
    <cellStyle name="20% - Accent1 2 7 2 3" xfId="12525" xr:uid="{16C96F36-DDB2-4ECA-96A1-5319BCFDB9B6}"/>
    <cellStyle name="20% - Accent1 2 7 3" xfId="6159" xr:uid="{00000000-0005-0000-0000-00004E000000}"/>
    <cellStyle name="20% - Accent1 2 7 3 2" xfId="14598" xr:uid="{30742E5C-14ED-4DE5-A1F5-1E2ED653BE9A}"/>
    <cellStyle name="20% - Accent1 2 7 4" xfId="10380" xr:uid="{B8E5F29B-5728-4B63-86C7-CED7B4DCF299}"/>
    <cellStyle name="20% - Accent1 2 8" xfId="2265" xr:uid="{00000000-0005-0000-0000-00004F000000}"/>
    <cellStyle name="20% - Accent1 2 8 2" xfId="6572" xr:uid="{00000000-0005-0000-0000-000050000000}"/>
    <cellStyle name="20% - Accent1 2 8 2 2" xfId="15011" xr:uid="{FF67D5A7-1853-4D10-8CC7-567F919DD0C7}"/>
    <cellStyle name="20% - Accent1 2 8 3" xfId="10793" xr:uid="{913DA7B3-660D-4E33-8B29-43D507D0DBF7}"/>
    <cellStyle name="20% - Accent1 2 9" xfId="4506" xr:uid="{00000000-0005-0000-0000-000051000000}"/>
    <cellStyle name="20% - Accent1 2 9 2" xfId="12945" xr:uid="{41F18116-C601-40E6-AE41-4AE6836EAA5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5509" xr:uid="{D43123FC-1C64-4B51-A85A-71EE0A64AE9C}"/>
    <cellStyle name="20% - Accent1 3 2 2 2 3" xfId="11291" xr:uid="{5C3F996E-64B6-478D-A922-050F6580CAA9}"/>
    <cellStyle name="20% - Accent1 3 2 2 3" xfId="4925" xr:uid="{00000000-0005-0000-0000-000057000000}"/>
    <cellStyle name="20% - Accent1 3 2 2 3 2" xfId="13364" xr:uid="{46B4BEC1-BC87-4C0B-A52F-641D69F44C5C}"/>
    <cellStyle name="20% - Accent1 3 2 2 4" xfId="9146" xr:uid="{230BA068-E3A2-4760-86D7-36F4707D2781}"/>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15922" xr:uid="{0572D194-C6EE-49A0-88AA-22AA7B331D30}"/>
    <cellStyle name="20% - Accent1 3 2 3 2 3" xfId="11704" xr:uid="{BE6F188A-6202-4E0A-8A72-07BA89DCB650}"/>
    <cellStyle name="20% - Accent1 3 2 3 3" xfId="5338" xr:uid="{00000000-0005-0000-0000-00005B000000}"/>
    <cellStyle name="20% - Accent1 3 2 3 3 2" xfId="13777" xr:uid="{26126D5D-184B-4950-9517-67695D30CD16}"/>
    <cellStyle name="20% - Accent1 3 2 3 4" xfId="9559" xr:uid="{DE9C6F0A-8089-495F-9A27-10BEE4EC006F}"/>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16335" xr:uid="{0F1F2B68-34B3-44E9-8B2C-78DE5F84C511}"/>
    <cellStyle name="20% - Accent1 3 2 4 2 3" xfId="12117" xr:uid="{8582EBD8-066E-4A5F-9A0F-3916FE1713E1}"/>
    <cellStyle name="20% - Accent1 3 2 4 3" xfId="5751" xr:uid="{00000000-0005-0000-0000-00005F000000}"/>
    <cellStyle name="20% - Accent1 3 2 4 3 2" xfId="14190" xr:uid="{199ADDE8-C1D8-46AE-B39F-21C50D1FA2FC}"/>
    <cellStyle name="20% - Accent1 3 2 4 4" xfId="9972" xr:uid="{C36F9E35-2403-43AB-B72E-19CD1CEA019C}"/>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16748" xr:uid="{9A7FF4E7-120A-4F23-9473-711F080539A3}"/>
    <cellStyle name="20% - Accent1 3 2 5 2 3" xfId="12530" xr:uid="{594DBE92-336D-4B7B-89F9-027AF11CCA44}"/>
    <cellStyle name="20% - Accent1 3 2 5 3" xfId="6164" xr:uid="{00000000-0005-0000-0000-000063000000}"/>
    <cellStyle name="20% - Accent1 3 2 5 3 2" xfId="14603" xr:uid="{F176FB1A-63C3-417F-8291-CB9057C8F02F}"/>
    <cellStyle name="20% - Accent1 3 2 5 4" xfId="10385" xr:uid="{5D19283E-117E-4F61-8EAE-D53FC739F668}"/>
    <cellStyle name="20% - Accent1 3 2 6" xfId="2270" xr:uid="{00000000-0005-0000-0000-000064000000}"/>
    <cellStyle name="20% - Accent1 3 2 6 2" xfId="6577" xr:uid="{00000000-0005-0000-0000-000065000000}"/>
    <cellStyle name="20% - Accent1 3 2 6 2 2" xfId="15016" xr:uid="{8307A56A-A6DC-4BC2-A092-19BEC7F19BBF}"/>
    <cellStyle name="20% - Accent1 3 2 6 3" xfId="10798" xr:uid="{63012300-D0C8-4065-8236-2C8C2EF5DF64}"/>
    <cellStyle name="20% - Accent1 3 2 7" xfId="4511" xr:uid="{00000000-0005-0000-0000-000066000000}"/>
    <cellStyle name="20% - Accent1 3 2 7 2" xfId="12950" xr:uid="{2E42F8EE-11F8-400D-BEF5-B452536BF173}"/>
    <cellStyle name="20% - Accent1 3 2 8" xfId="8732" xr:uid="{30B49D09-5A13-4840-B92A-E8CB2F06E2E9}"/>
    <cellStyle name="20% - Accent1 3 3" xfId="575" xr:uid="{00000000-0005-0000-0000-000067000000}"/>
    <cellStyle name="20% - Accent1 3 3 2" xfId="2846" xr:uid="{00000000-0005-0000-0000-000068000000}"/>
    <cellStyle name="20% - Accent1 3 3 2 2" xfId="7069" xr:uid="{00000000-0005-0000-0000-000069000000}"/>
    <cellStyle name="20% - Accent1 3 3 2 2 2" xfId="15508" xr:uid="{E851B6FC-7CDA-4010-999A-9C52714DF39F}"/>
    <cellStyle name="20% - Accent1 3 3 2 3" xfId="11290" xr:uid="{F8CF100F-07FA-44CE-9294-D9E1BAAE5C35}"/>
    <cellStyle name="20% - Accent1 3 3 3" xfId="4924" xr:uid="{00000000-0005-0000-0000-00006A000000}"/>
    <cellStyle name="20% - Accent1 3 3 3 2" xfId="13363" xr:uid="{64A07D76-9F3C-4E87-BF0E-4851EE94BC69}"/>
    <cellStyle name="20% - Accent1 3 3 4" xfId="9145" xr:uid="{FF822810-EB9A-4CA7-AAD4-9D8691094B65}"/>
    <cellStyle name="20% - Accent1 3 4" xfId="1028" xr:uid="{00000000-0005-0000-0000-00006B000000}"/>
    <cellStyle name="20% - Accent1 3 4 2" xfId="3259" xr:uid="{00000000-0005-0000-0000-00006C000000}"/>
    <cellStyle name="20% - Accent1 3 4 2 2" xfId="7482" xr:uid="{00000000-0005-0000-0000-00006D000000}"/>
    <cellStyle name="20% - Accent1 3 4 2 2 2" xfId="15921" xr:uid="{A4868BB8-7E03-44E6-AD65-5EAC91E330FD}"/>
    <cellStyle name="20% - Accent1 3 4 2 3" xfId="11703" xr:uid="{5A6CD073-7096-4F3B-BD3A-339DA2F89D5D}"/>
    <cellStyle name="20% - Accent1 3 4 3" xfId="5337" xr:uid="{00000000-0005-0000-0000-00006E000000}"/>
    <cellStyle name="20% - Accent1 3 4 3 2" xfId="13776" xr:uid="{4D6595B7-5E82-4D2C-84F2-6EF1BD1003CD}"/>
    <cellStyle name="20% - Accent1 3 4 4" xfId="9558" xr:uid="{999010C6-19B0-4EB0-8C1C-D4F0A70A3C31}"/>
    <cellStyle name="20% - Accent1 3 5" xfId="1442" xr:uid="{00000000-0005-0000-0000-00006F000000}"/>
    <cellStyle name="20% - Accent1 3 5 2" xfId="3672" xr:uid="{00000000-0005-0000-0000-000070000000}"/>
    <cellStyle name="20% - Accent1 3 5 2 2" xfId="7895" xr:uid="{00000000-0005-0000-0000-000071000000}"/>
    <cellStyle name="20% - Accent1 3 5 2 2 2" xfId="16334" xr:uid="{BAAA6C6F-ECF9-41C9-9460-158CFBC577B7}"/>
    <cellStyle name="20% - Accent1 3 5 2 3" xfId="12116" xr:uid="{299D0639-FE4B-4ED2-8577-5977DE2FE23A}"/>
    <cellStyle name="20% - Accent1 3 5 3" xfId="5750" xr:uid="{00000000-0005-0000-0000-000072000000}"/>
    <cellStyle name="20% - Accent1 3 5 3 2" xfId="14189" xr:uid="{0ABFCBDA-A312-4C00-B987-A5745CE7051A}"/>
    <cellStyle name="20% - Accent1 3 5 4" xfId="9971" xr:uid="{DF45BC6C-92F1-4E2C-BD72-C1A3C07ECB7D}"/>
    <cellStyle name="20% - Accent1 3 6" xfId="1856" xr:uid="{00000000-0005-0000-0000-000073000000}"/>
    <cellStyle name="20% - Accent1 3 6 2" xfId="4085" xr:uid="{00000000-0005-0000-0000-000074000000}"/>
    <cellStyle name="20% - Accent1 3 6 2 2" xfId="8308" xr:uid="{00000000-0005-0000-0000-000075000000}"/>
    <cellStyle name="20% - Accent1 3 6 2 2 2" xfId="16747" xr:uid="{3E9FE296-8346-470F-9811-375C0F4F0E5A}"/>
    <cellStyle name="20% - Accent1 3 6 2 3" xfId="12529" xr:uid="{A3BF4479-97FD-4F01-B58B-5003CDB0013E}"/>
    <cellStyle name="20% - Accent1 3 6 3" xfId="6163" xr:uid="{00000000-0005-0000-0000-000076000000}"/>
    <cellStyle name="20% - Accent1 3 6 3 2" xfId="14602" xr:uid="{EB45994B-34CD-479A-9130-BA04DD09A053}"/>
    <cellStyle name="20% - Accent1 3 6 4" xfId="10384" xr:uid="{AF390CBB-5BF0-4B5F-8A92-089E7DD85225}"/>
    <cellStyle name="20% - Accent1 3 7" xfId="2269" xr:uid="{00000000-0005-0000-0000-000077000000}"/>
    <cellStyle name="20% - Accent1 3 7 2" xfId="6576" xr:uid="{00000000-0005-0000-0000-000078000000}"/>
    <cellStyle name="20% - Accent1 3 7 2 2" xfId="15015" xr:uid="{B3B75C7A-F65D-4BA1-8EDA-25A01F3986CC}"/>
    <cellStyle name="20% - Accent1 3 7 3" xfId="10797" xr:uid="{520BA8E9-F28D-4C88-A908-AED92EEEB3BB}"/>
    <cellStyle name="20% - Accent1 3 8" xfId="4510" xr:uid="{00000000-0005-0000-0000-000079000000}"/>
    <cellStyle name="20% - Accent1 3 8 2" xfId="12949" xr:uid="{87CF9EC8-7EA1-40BB-BBF7-A19A41E1D445}"/>
    <cellStyle name="20% - Accent1 3 9" xfId="8731" xr:uid="{FBEA4543-2634-42D6-AA3D-CAE59E333F44}"/>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15510" xr:uid="{3E1A2F2D-5C62-429C-B51E-5FBCFF1EB892}"/>
    <cellStyle name="20% - Accent1 4 2 2 3" xfId="11292" xr:uid="{AD4F945A-0F9D-4FDF-A296-8EB69D9811D7}"/>
    <cellStyle name="20% - Accent1 4 2 3" xfId="4926" xr:uid="{00000000-0005-0000-0000-00007E000000}"/>
    <cellStyle name="20% - Accent1 4 2 3 2" xfId="13365" xr:uid="{9254CA53-F5D7-4E3A-9952-504AA6A4168C}"/>
    <cellStyle name="20% - Accent1 4 2 4" xfId="9147" xr:uid="{431FFA98-E4CB-45D9-9E73-312FB2E88162}"/>
    <cellStyle name="20% - Accent1 4 3" xfId="1030" xr:uid="{00000000-0005-0000-0000-00007F000000}"/>
    <cellStyle name="20% - Accent1 4 3 2" xfId="3261" xr:uid="{00000000-0005-0000-0000-000080000000}"/>
    <cellStyle name="20% - Accent1 4 3 2 2" xfId="7484" xr:uid="{00000000-0005-0000-0000-000081000000}"/>
    <cellStyle name="20% - Accent1 4 3 2 2 2" xfId="15923" xr:uid="{CFE46450-5CF9-481E-9725-77AE8BD599B6}"/>
    <cellStyle name="20% - Accent1 4 3 2 3" xfId="11705" xr:uid="{C9E437EC-8BE3-419A-B3CF-D48E1CB8C1A9}"/>
    <cellStyle name="20% - Accent1 4 3 3" xfId="5339" xr:uid="{00000000-0005-0000-0000-000082000000}"/>
    <cellStyle name="20% - Accent1 4 3 3 2" xfId="13778" xr:uid="{538F02AB-4E0E-451F-AC47-4E9060BC54B8}"/>
    <cellStyle name="20% - Accent1 4 3 4" xfId="9560" xr:uid="{76DC2301-0B99-44EA-B556-7194E83B5F41}"/>
    <cellStyle name="20% - Accent1 4 4" xfId="1444" xr:uid="{00000000-0005-0000-0000-000083000000}"/>
    <cellStyle name="20% - Accent1 4 4 2" xfId="3674" xr:uid="{00000000-0005-0000-0000-000084000000}"/>
    <cellStyle name="20% - Accent1 4 4 2 2" xfId="7897" xr:uid="{00000000-0005-0000-0000-000085000000}"/>
    <cellStyle name="20% - Accent1 4 4 2 2 2" xfId="16336" xr:uid="{988B858B-8B19-4BB1-BF5E-86E1C69929EC}"/>
    <cellStyle name="20% - Accent1 4 4 2 3" xfId="12118" xr:uid="{FC84BDDF-E48F-46FB-BE6D-87F370709ADE}"/>
    <cellStyle name="20% - Accent1 4 4 3" xfId="5752" xr:uid="{00000000-0005-0000-0000-000086000000}"/>
    <cellStyle name="20% - Accent1 4 4 3 2" xfId="14191" xr:uid="{BFD414C5-111A-476B-963C-A8A3DF319872}"/>
    <cellStyle name="20% - Accent1 4 4 4" xfId="9973" xr:uid="{C543A67E-523D-4040-8122-C168E8FC3068}"/>
    <cellStyle name="20% - Accent1 4 5" xfId="1858" xr:uid="{00000000-0005-0000-0000-000087000000}"/>
    <cellStyle name="20% - Accent1 4 5 2" xfId="4087" xr:uid="{00000000-0005-0000-0000-000088000000}"/>
    <cellStyle name="20% - Accent1 4 5 2 2" xfId="8310" xr:uid="{00000000-0005-0000-0000-000089000000}"/>
    <cellStyle name="20% - Accent1 4 5 2 2 2" xfId="16749" xr:uid="{07F2F06E-C4E6-4816-8781-A805AC96FA37}"/>
    <cellStyle name="20% - Accent1 4 5 2 3" xfId="12531" xr:uid="{48C5F233-A09F-4BFD-9575-4380129884B8}"/>
    <cellStyle name="20% - Accent1 4 5 3" xfId="6165" xr:uid="{00000000-0005-0000-0000-00008A000000}"/>
    <cellStyle name="20% - Accent1 4 5 3 2" xfId="14604" xr:uid="{47136418-41B3-4F63-A2CD-E377DB976C8C}"/>
    <cellStyle name="20% - Accent1 4 5 4" xfId="10386" xr:uid="{54B09EEC-424F-498F-8951-590739F6B56F}"/>
    <cellStyle name="20% - Accent1 4 6" xfId="2271" xr:uid="{00000000-0005-0000-0000-00008B000000}"/>
    <cellStyle name="20% - Accent1 4 6 2" xfId="6578" xr:uid="{00000000-0005-0000-0000-00008C000000}"/>
    <cellStyle name="20% - Accent1 4 6 2 2" xfId="15017" xr:uid="{9E01A6C4-B15D-42EA-859E-BD759B49C137}"/>
    <cellStyle name="20% - Accent1 4 6 3" xfId="10799" xr:uid="{E015B67F-7B20-492C-B560-451015B04219}"/>
    <cellStyle name="20% - Accent1 4 7" xfId="4512" xr:uid="{00000000-0005-0000-0000-00008D000000}"/>
    <cellStyle name="20% - Accent1 4 7 2" xfId="12951" xr:uid="{02BAC197-2768-40B4-99A4-6860919DF229}"/>
    <cellStyle name="20% - Accent1 4 8" xfId="8733" xr:uid="{26FBD52F-BA37-432E-AEA5-4B70516952AD}"/>
    <cellStyle name="20% - Accent1 5" xfId="570" xr:uid="{00000000-0005-0000-0000-00008E000000}"/>
    <cellStyle name="20% - Accent1 5 2" xfId="2841" xr:uid="{00000000-0005-0000-0000-00008F000000}"/>
    <cellStyle name="20% - Accent1 5 2 2" xfId="7064" xr:uid="{00000000-0005-0000-0000-000090000000}"/>
    <cellStyle name="20% - Accent1 5 2 2 2" xfId="15503" xr:uid="{D08AAF77-4656-4BC8-8050-5F28BB59F03C}"/>
    <cellStyle name="20% - Accent1 5 2 3" xfId="11285" xr:uid="{5CF98847-18CF-4ED2-9AC1-059B0859C987}"/>
    <cellStyle name="20% - Accent1 5 3" xfId="4919" xr:uid="{00000000-0005-0000-0000-000091000000}"/>
    <cellStyle name="20% - Accent1 5 3 2" xfId="13358" xr:uid="{BE49491C-BAA4-431B-AC8B-70EB6C9BCD37}"/>
    <cellStyle name="20% - Accent1 5 4" xfId="9140" xr:uid="{83F94499-F757-472F-A2F3-B794F2E2247F}"/>
    <cellStyle name="20% - Accent1 6" xfId="1023" xr:uid="{00000000-0005-0000-0000-000092000000}"/>
    <cellStyle name="20% - Accent1 6 2" xfId="3254" xr:uid="{00000000-0005-0000-0000-000093000000}"/>
    <cellStyle name="20% - Accent1 6 2 2" xfId="7477" xr:uid="{00000000-0005-0000-0000-000094000000}"/>
    <cellStyle name="20% - Accent1 6 2 2 2" xfId="15916" xr:uid="{1366FF6B-010B-457B-9CC4-B194C3CFA0AD}"/>
    <cellStyle name="20% - Accent1 6 2 3" xfId="11698" xr:uid="{DFAAC136-D48E-4EA6-81A0-2951D7E6C63F}"/>
    <cellStyle name="20% - Accent1 6 3" xfId="5332" xr:uid="{00000000-0005-0000-0000-000095000000}"/>
    <cellStyle name="20% - Accent1 6 3 2" xfId="13771" xr:uid="{C53DAF80-D5AB-401D-ACB0-CFD39213B180}"/>
    <cellStyle name="20% - Accent1 6 4" xfId="9553" xr:uid="{E5916D70-6E03-460E-8F6F-C80CBF30B217}"/>
    <cellStyle name="20% - Accent1 7" xfId="1437" xr:uid="{00000000-0005-0000-0000-000096000000}"/>
    <cellStyle name="20% - Accent1 7 2" xfId="3667" xr:uid="{00000000-0005-0000-0000-000097000000}"/>
    <cellStyle name="20% - Accent1 7 2 2" xfId="7890" xr:uid="{00000000-0005-0000-0000-000098000000}"/>
    <cellStyle name="20% - Accent1 7 2 2 2" xfId="16329" xr:uid="{72A15115-5682-42A7-AA6C-233347F5FF99}"/>
    <cellStyle name="20% - Accent1 7 2 3" xfId="12111" xr:uid="{A3089439-4B0B-4366-B083-37B115ECA5C7}"/>
    <cellStyle name="20% - Accent1 7 3" xfId="5745" xr:uid="{00000000-0005-0000-0000-000099000000}"/>
    <cellStyle name="20% - Accent1 7 3 2" xfId="14184" xr:uid="{8276D58C-53B6-46C6-97C5-E1536672FD73}"/>
    <cellStyle name="20% - Accent1 7 4" xfId="9966" xr:uid="{FFAB2185-234C-4425-BB65-F1174564C270}"/>
    <cellStyle name="20% - Accent1 8" xfId="1851" xr:uid="{00000000-0005-0000-0000-00009A000000}"/>
    <cellStyle name="20% - Accent1 8 2" xfId="4080" xr:uid="{00000000-0005-0000-0000-00009B000000}"/>
    <cellStyle name="20% - Accent1 8 2 2" xfId="8303" xr:uid="{00000000-0005-0000-0000-00009C000000}"/>
    <cellStyle name="20% - Accent1 8 2 2 2" xfId="16742" xr:uid="{59DB3639-E7DD-4CDB-99A1-50678D7E83D2}"/>
    <cellStyle name="20% - Accent1 8 2 3" xfId="12524" xr:uid="{0AF040A5-893F-4001-8E4D-6B721D61D574}"/>
    <cellStyle name="20% - Accent1 8 3" xfId="6158" xr:uid="{00000000-0005-0000-0000-00009D000000}"/>
    <cellStyle name="20% - Accent1 8 3 2" xfId="14597" xr:uid="{F49FA8D3-B470-47DD-A3D7-9D76348A40AC}"/>
    <cellStyle name="20% - Accent1 8 4" xfId="10379" xr:uid="{58C5B3D9-0166-42A2-AEA1-C4CC26957BC2}"/>
    <cellStyle name="20% - Accent1 9" xfId="2264" xr:uid="{00000000-0005-0000-0000-00009E000000}"/>
    <cellStyle name="20% - Accent1 9 2" xfId="6571" xr:uid="{00000000-0005-0000-0000-00009F000000}"/>
    <cellStyle name="20% - Accent1 9 2 2" xfId="15010" xr:uid="{76997C26-6931-4FFA-9280-3FED80B652C6}"/>
    <cellStyle name="20% - Accent1 9 3" xfId="10792" xr:uid="{2DB320C1-51FD-443A-BC91-61D65801D926}"/>
    <cellStyle name="20% - Accent2" xfId="9" builtinId="34" customBuiltin="1"/>
    <cellStyle name="20% - Accent2 10" xfId="4513" xr:uid="{00000000-0005-0000-0000-0000A1000000}"/>
    <cellStyle name="20% - Accent2 10 2" xfId="12952" xr:uid="{E6FF9D62-8E39-433A-8A12-3466DDA8E021}"/>
    <cellStyle name="20% - Accent2 11" xfId="8734" xr:uid="{769FF02F-3FB2-4FD3-8B3A-ACD82D4C88CB}"/>
    <cellStyle name="20% - Accent2 2" xfId="10" xr:uid="{00000000-0005-0000-0000-0000A2000000}"/>
    <cellStyle name="20% - Accent2 2 10" xfId="8735" xr:uid="{CB7269D9-16BF-4B0C-9962-60F44BF94F38}"/>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5514" xr:uid="{C3CC19F1-1AE2-4D4D-9EAD-6619C1B28500}"/>
    <cellStyle name="20% - Accent2 2 2 2 2 2 3" xfId="11296" xr:uid="{A3281097-B253-4F3E-9A90-E00E0A1FB244}"/>
    <cellStyle name="20% - Accent2 2 2 2 2 3" xfId="4930" xr:uid="{00000000-0005-0000-0000-0000A8000000}"/>
    <cellStyle name="20% - Accent2 2 2 2 2 3 2" xfId="13369" xr:uid="{8037A6C9-E2AC-4227-B441-317570AB007A}"/>
    <cellStyle name="20% - Accent2 2 2 2 2 4" xfId="9151" xr:uid="{DDADC464-9070-4482-8A2E-A6DBCBE3F608}"/>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15927" xr:uid="{D8B496F0-453E-4CE0-B54A-756F95BA9A78}"/>
    <cellStyle name="20% - Accent2 2 2 2 3 2 3" xfId="11709" xr:uid="{25791646-D1A6-4007-815A-47D99B8A8286}"/>
    <cellStyle name="20% - Accent2 2 2 2 3 3" xfId="5343" xr:uid="{00000000-0005-0000-0000-0000AC000000}"/>
    <cellStyle name="20% - Accent2 2 2 2 3 3 2" xfId="13782" xr:uid="{E1E978FA-4BE0-4BD0-929E-F760691A78D7}"/>
    <cellStyle name="20% - Accent2 2 2 2 3 4" xfId="9564" xr:uid="{6C179111-5804-45EB-A8CB-64CDB7340B86}"/>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16340" xr:uid="{8A1D06B7-1068-4623-BD26-67C936BB3548}"/>
    <cellStyle name="20% - Accent2 2 2 2 4 2 3" xfId="12122" xr:uid="{A7827175-A200-43DF-9B64-1821D7211479}"/>
    <cellStyle name="20% - Accent2 2 2 2 4 3" xfId="5756" xr:uid="{00000000-0005-0000-0000-0000B0000000}"/>
    <cellStyle name="20% - Accent2 2 2 2 4 3 2" xfId="14195" xr:uid="{DF576AD7-E289-41D2-A003-4B5E9BD3CFC1}"/>
    <cellStyle name="20% - Accent2 2 2 2 4 4" xfId="9977" xr:uid="{DFB319C6-2EF4-4441-9BA3-92A55BCADB1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16753" xr:uid="{7579E52B-8434-4A4F-BEA0-8DB45B50E1CC}"/>
    <cellStyle name="20% - Accent2 2 2 2 5 2 3" xfId="12535" xr:uid="{199F5ACE-E8B7-491D-A929-668EA1F52AAC}"/>
    <cellStyle name="20% - Accent2 2 2 2 5 3" xfId="6169" xr:uid="{00000000-0005-0000-0000-0000B4000000}"/>
    <cellStyle name="20% - Accent2 2 2 2 5 3 2" xfId="14608" xr:uid="{B2468D92-45F9-4CA3-8054-D9ACF9548572}"/>
    <cellStyle name="20% - Accent2 2 2 2 5 4" xfId="10390" xr:uid="{AA75CD8B-2209-4B4E-90DB-8E9003C75E14}"/>
    <cellStyle name="20% - Accent2 2 2 2 6" xfId="2275" xr:uid="{00000000-0005-0000-0000-0000B5000000}"/>
    <cellStyle name="20% - Accent2 2 2 2 6 2" xfId="6582" xr:uid="{00000000-0005-0000-0000-0000B6000000}"/>
    <cellStyle name="20% - Accent2 2 2 2 6 2 2" xfId="15021" xr:uid="{F3A0D860-FD76-4107-891E-3996A45FC6D2}"/>
    <cellStyle name="20% - Accent2 2 2 2 6 3" xfId="10803" xr:uid="{0158C552-4940-485F-855D-2CCD531AB4A0}"/>
    <cellStyle name="20% - Accent2 2 2 2 7" xfId="4516" xr:uid="{00000000-0005-0000-0000-0000B7000000}"/>
    <cellStyle name="20% - Accent2 2 2 2 7 2" xfId="12955" xr:uid="{D39E5D9A-A2B0-40D3-BE8E-E405ABD59244}"/>
    <cellStyle name="20% - Accent2 2 2 2 8" xfId="8737" xr:uid="{4302A00A-C002-4C23-967B-157F7F59A5F4}"/>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5513" xr:uid="{0E2FB029-FFB2-4EE5-96E5-DC31B303B650}"/>
    <cellStyle name="20% - Accent2 2 2 3 2 3" xfId="11295" xr:uid="{81565BCD-C082-41CB-B83C-1FFB55FAB4CD}"/>
    <cellStyle name="20% - Accent2 2 2 3 3" xfId="4929" xr:uid="{00000000-0005-0000-0000-0000BB000000}"/>
    <cellStyle name="20% - Accent2 2 2 3 3 2" xfId="13368" xr:uid="{5817ACFE-0F0D-49A7-9DD3-DBD07EE4AFAB}"/>
    <cellStyle name="20% - Accent2 2 2 3 4" xfId="9150" xr:uid="{56567169-FC9F-4232-9DBE-8D1EC1A1CF4D}"/>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15926" xr:uid="{1CA4BD9E-9E24-44EB-8966-343716ED3B14}"/>
    <cellStyle name="20% - Accent2 2 2 4 2 3" xfId="11708" xr:uid="{19E7BF2D-3042-4890-AD0D-4CE1A482F767}"/>
    <cellStyle name="20% - Accent2 2 2 4 3" xfId="5342" xr:uid="{00000000-0005-0000-0000-0000BF000000}"/>
    <cellStyle name="20% - Accent2 2 2 4 3 2" xfId="13781" xr:uid="{FD5D67E6-A029-4DF5-942A-85B1CFE90060}"/>
    <cellStyle name="20% - Accent2 2 2 4 4" xfId="9563" xr:uid="{AA86D080-9261-4377-9DDF-1C2E212F4F86}"/>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16339" xr:uid="{1ED3F5EF-7C4D-45E8-B914-F4145DA81C5F}"/>
    <cellStyle name="20% - Accent2 2 2 5 2 3" xfId="12121" xr:uid="{9208FAE5-3169-4F1F-AACA-D9A5222F797A}"/>
    <cellStyle name="20% - Accent2 2 2 5 3" xfId="5755" xr:uid="{00000000-0005-0000-0000-0000C3000000}"/>
    <cellStyle name="20% - Accent2 2 2 5 3 2" xfId="14194" xr:uid="{51622E2C-EE75-429E-9122-F6ADC08EDD46}"/>
    <cellStyle name="20% - Accent2 2 2 5 4" xfId="9976" xr:uid="{76656284-B60A-45F0-99F5-EF863233AE7A}"/>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16752" xr:uid="{6CE5D948-3487-46CE-8776-188F36712757}"/>
    <cellStyle name="20% - Accent2 2 2 6 2 3" xfId="12534" xr:uid="{16AD463B-A672-481F-8367-A9ADE1BB7D97}"/>
    <cellStyle name="20% - Accent2 2 2 6 3" xfId="6168" xr:uid="{00000000-0005-0000-0000-0000C7000000}"/>
    <cellStyle name="20% - Accent2 2 2 6 3 2" xfId="14607" xr:uid="{E54D3789-A4FC-4F81-A7ED-5C27827594D3}"/>
    <cellStyle name="20% - Accent2 2 2 6 4" xfId="10389" xr:uid="{B9C28CE7-8FD9-4FAC-838C-A500270FACA6}"/>
    <cellStyle name="20% - Accent2 2 2 7" xfId="2274" xr:uid="{00000000-0005-0000-0000-0000C8000000}"/>
    <cellStyle name="20% - Accent2 2 2 7 2" xfId="6581" xr:uid="{00000000-0005-0000-0000-0000C9000000}"/>
    <cellStyle name="20% - Accent2 2 2 7 2 2" xfId="15020" xr:uid="{E3BB6078-14A3-4F2D-A767-53383FAE4445}"/>
    <cellStyle name="20% - Accent2 2 2 7 3" xfId="10802" xr:uid="{FA991F38-5214-4CAC-BE28-07BC6BC8C3E0}"/>
    <cellStyle name="20% - Accent2 2 2 8" xfId="4515" xr:uid="{00000000-0005-0000-0000-0000CA000000}"/>
    <cellStyle name="20% - Accent2 2 2 8 2" xfId="12954" xr:uid="{FCB7D736-0CB3-485F-A7D0-AAE6C9B64E6E}"/>
    <cellStyle name="20% - Accent2 2 2 9" xfId="8736" xr:uid="{00D84764-2F16-40F9-92FE-3CE08858FBFB}"/>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5515" xr:uid="{7D57217B-C640-4FA8-AD27-51FC0A2BF423}"/>
    <cellStyle name="20% - Accent2 2 3 2 2 3" xfId="11297" xr:uid="{037E49D0-1E34-462A-BF86-248131F72237}"/>
    <cellStyle name="20% - Accent2 2 3 2 3" xfId="4931" xr:uid="{00000000-0005-0000-0000-0000CF000000}"/>
    <cellStyle name="20% - Accent2 2 3 2 3 2" xfId="13370" xr:uid="{DBC533A2-5C93-45CC-A9F9-F35B25E3F1A6}"/>
    <cellStyle name="20% - Accent2 2 3 2 4" xfId="9152" xr:uid="{A9EB87B4-D6C0-4F44-9C29-E1D35ED7DCF3}"/>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15928" xr:uid="{1C56906A-A5B2-4CA8-A7C9-FAEE75DAC21B}"/>
    <cellStyle name="20% - Accent2 2 3 3 2 3" xfId="11710" xr:uid="{7F8D3F58-635D-40B5-8D72-E30B9FD9E7F3}"/>
    <cellStyle name="20% - Accent2 2 3 3 3" xfId="5344" xr:uid="{00000000-0005-0000-0000-0000D3000000}"/>
    <cellStyle name="20% - Accent2 2 3 3 3 2" xfId="13783" xr:uid="{82E9F49A-FE98-4663-819C-BD69FC561AAB}"/>
    <cellStyle name="20% - Accent2 2 3 3 4" xfId="9565" xr:uid="{E1EC3523-CB3D-420A-975C-20707950F06C}"/>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16341" xr:uid="{47A9CB6B-38B0-4F69-BCDF-3F090F4FAC88}"/>
    <cellStyle name="20% - Accent2 2 3 4 2 3" xfId="12123" xr:uid="{76176157-4752-4343-B771-C60BCD90CAC7}"/>
    <cellStyle name="20% - Accent2 2 3 4 3" xfId="5757" xr:uid="{00000000-0005-0000-0000-0000D7000000}"/>
    <cellStyle name="20% - Accent2 2 3 4 3 2" xfId="14196" xr:uid="{5D025EAE-7DA9-43D0-931E-C6CD6B151169}"/>
    <cellStyle name="20% - Accent2 2 3 4 4" xfId="9978" xr:uid="{0DE06AC9-3947-4AF2-BBDE-A0737C9810ED}"/>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16754" xr:uid="{AB468196-EAB9-4C28-B629-CFBBE6B71A8A}"/>
    <cellStyle name="20% - Accent2 2 3 5 2 3" xfId="12536" xr:uid="{4FC69F26-3D32-4818-AEF3-5E003ADDFCBB}"/>
    <cellStyle name="20% - Accent2 2 3 5 3" xfId="6170" xr:uid="{00000000-0005-0000-0000-0000DB000000}"/>
    <cellStyle name="20% - Accent2 2 3 5 3 2" xfId="14609" xr:uid="{FC540790-7E55-4C83-A617-F6E8C49715B7}"/>
    <cellStyle name="20% - Accent2 2 3 5 4" xfId="10391" xr:uid="{B665309E-66E6-4CFD-9323-55266996D5F1}"/>
    <cellStyle name="20% - Accent2 2 3 6" xfId="2276" xr:uid="{00000000-0005-0000-0000-0000DC000000}"/>
    <cellStyle name="20% - Accent2 2 3 6 2" xfId="6583" xr:uid="{00000000-0005-0000-0000-0000DD000000}"/>
    <cellStyle name="20% - Accent2 2 3 6 2 2" xfId="15022" xr:uid="{F012BE8B-9C73-4D95-A712-FC06092ABE87}"/>
    <cellStyle name="20% - Accent2 2 3 6 3" xfId="10804" xr:uid="{6391CEEC-6B0F-4DCF-98A1-359A5FC62ADF}"/>
    <cellStyle name="20% - Accent2 2 3 7" xfId="4517" xr:uid="{00000000-0005-0000-0000-0000DE000000}"/>
    <cellStyle name="20% - Accent2 2 3 7 2" xfId="12956" xr:uid="{9F91151A-64F5-4847-AEAF-FBE323089DBF}"/>
    <cellStyle name="20% - Accent2 2 3 8" xfId="8738" xr:uid="{383315E5-A683-4A82-9B18-985C4E6EABE8}"/>
    <cellStyle name="20% - Accent2 2 4" xfId="579" xr:uid="{00000000-0005-0000-0000-0000DF000000}"/>
    <cellStyle name="20% - Accent2 2 4 2" xfId="2850" xr:uid="{00000000-0005-0000-0000-0000E0000000}"/>
    <cellStyle name="20% - Accent2 2 4 2 2" xfId="7073" xr:uid="{00000000-0005-0000-0000-0000E1000000}"/>
    <cellStyle name="20% - Accent2 2 4 2 2 2" xfId="15512" xr:uid="{9FA0FBD7-3F65-47BE-BAD7-04FAB98347CD}"/>
    <cellStyle name="20% - Accent2 2 4 2 3" xfId="11294" xr:uid="{6D85EEFD-B8FF-4C2F-BEF3-12AA014FC4DB}"/>
    <cellStyle name="20% - Accent2 2 4 3" xfId="4928" xr:uid="{00000000-0005-0000-0000-0000E2000000}"/>
    <cellStyle name="20% - Accent2 2 4 3 2" xfId="13367" xr:uid="{213AD174-9FB6-4CBA-AFAD-DEF0802F1B8B}"/>
    <cellStyle name="20% - Accent2 2 4 4" xfId="9149" xr:uid="{B7D82C79-206A-4A9F-BCC0-722D8A220721}"/>
    <cellStyle name="20% - Accent2 2 5" xfId="1032" xr:uid="{00000000-0005-0000-0000-0000E3000000}"/>
    <cellStyle name="20% - Accent2 2 5 2" xfId="3263" xr:uid="{00000000-0005-0000-0000-0000E4000000}"/>
    <cellStyle name="20% - Accent2 2 5 2 2" xfId="7486" xr:uid="{00000000-0005-0000-0000-0000E5000000}"/>
    <cellStyle name="20% - Accent2 2 5 2 2 2" xfId="15925" xr:uid="{7156AA2A-D1A2-4D86-8600-1B5E115A39B4}"/>
    <cellStyle name="20% - Accent2 2 5 2 3" xfId="11707" xr:uid="{83915A27-E015-4D17-B0CF-9B8999E7B170}"/>
    <cellStyle name="20% - Accent2 2 5 3" xfId="5341" xr:uid="{00000000-0005-0000-0000-0000E6000000}"/>
    <cellStyle name="20% - Accent2 2 5 3 2" xfId="13780" xr:uid="{9A498283-03A9-4B01-8CF4-DC8C561F2715}"/>
    <cellStyle name="20% - Accent2 2 5 4" xfId="9562" xr:uid="{634B0CAE-84F9-4478-BA68-EF4A40781F8F}"/>
    <cellStyle name="20% - Accent2 2 6" xfId="1446" xr:uid="{00000000-0005-0000-0000-0000E7000000}"/>
    <cellStyle name="20% - Accent2 2 6 2" xfId="3676" xr:uid="{00000000-0005-0000-0000-0000E8000000}"/>
    <cellStyle name="20% - Accent2 2 6 2 2" xfId="7899" xr:uid="{00000000-0005-0000-0000-0000E9000000}"/>
    <cellStyle name="20% - Accent2 2 6 2 2 2" xfId="16338" xr:uid="{C296856D-263C-4620-A833-44BE13C0951A}"/>
    <cellStyle name="20% - Accent2 2 6 2 3" xfId="12120" xr:uid="{160C2290-895C-4927-8048-D873EF7B8855}"/>
    <cellStyle name="20% - Accent2 2 6 3" xfId="5754" xr:uid="{00000000-0005-0000-0000-0000EA000000}"/>
    <cellStyle name="20% - Accent2 2 6 3 2" xfId="14193" xr:uid="{E7195DEF-58AA-43E7-A767-90E3736856D8}"/>
    <cellStyle name="20% - Accent2 2 6 4" xfId="9975" xr:uid="{EF4AF5F5-5A59-4CBD-A3EA-863AB0F9F620}"/>
    <cellStyle name="20% - Accent2 2 7" xfId="1860" xr:uid="{00000000-0005-0000-0000-0000EB000000}"/>
    <cellStyle name="20% - Accent2 2 7 2" xfId="4089" xr:uid="{00000000-0005-0000-0000-0000EC000000}"/>
    <cellStyle name="20% - Accent2 2 7 2 2" xfId="8312" xr:uid="{00000000-0005-0000-0000-0000ED000000}"/>
    <cellStyle name="20% - Accent2 2 7 2 2 2" xfId="16751" xr:uid="{4AF21521-92C6-4223-B3E6-3A71A2E0B5F8}"/>
    <cellStyle name="20% - Accent2 2 7 2 3" xfId="12533" xr:uid="{691B1F5C-CDAD-4BDA-97DB-393A705B3B06}"/>
    <cellStyle name="20% - Accent2 2 7 3" xfId="6167" xr:uid="{00000000-0005-0000-0000-0000EE000000}"/>
    <cellStyle name="20% - Accent2 2 7 3 2" xfId="14606" xr:uid="{1504E7CC-6E3A-4AC6-B8C8-C7D5E92A6578}"/>
    <cellStyle name="20% - Accent2 2 7 4" xfId="10388" xr:uid="{F7AD8F21-E128-4D06-9060-A53DF320243D}"/>
    <cellStyle name="20% - Accent2 2 8" xfId="2273" xr:uid="{00000000-0005-0000-0000-0000EF000000}"/>
    <cellStyle name="20% - Accent2 2 8 2" xfId="6580" xr:uid="{00000000-0005-0000-0000-0000F0000000}"/>
    <cellStyle name="20% - Accent2 2 8 2 2" xfId="15019" xr:uid="{D3DB7687-720E-4B1C-A4FA-E89EC956653F}"/>
    <cellStyle name="20% - Accent2 2 8 3" xfId="10801" xr:uid="{C91FFA2E-CBE8-451B-8CF7-2DA7F806B325}"/>
    <cellStyle name="20% - Accent2 2 9" xfId="4514" xr:uid="{00000000-0005-0000-0000-0000F1000000}"/>
    <cellStyle name="20% - Accent2 2 9 2" xfId="12953" xr:uid="{E50BFF4E-628C-48D3-BC2A-369219198C1B}"/>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5517" xr:uid="{733570BE-B47B-40BB-88BE-759DAEAE2764}"/>
    <cellStyle name="20% - Accent2 3 2 2 2 3" xfId="11299" xr:uid="{628ED171-28AA-470A-81DD-55C1209404B9}"/>
    <cellStyle name="20% - Accent2 3 2 2 3" xfId="4933" xr:uid="{00000000-0005-0000-0000-0000F7000000}"/>
    <cellStyle name="20% - Accent2 3 2 2 3 2" xfId="13372" xr:uid="{6519D55D-D290-4281-AE05-2C8FE7A827F8}"/>
    <cellStyle name="20% - Accent2 3 2 2 4" xfId="9154" xr:uid="{BAC3884A-0E07-48E8-973C-3A01F4529D9F}"/>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15930" xr:uid="{69A8E55D-B59E-4E46-8BBE-37A6C559189C}"/>
    <cellStyle name="20% - Accent2 3 2 3 2 3" xfId="11712" xr:uid="{0E64A7F3-6D7B-446C-B219-57F620D87246}"/>
    <cellStyle name="20% - Accent2 3 2 3 3" xfId="5346" xr:uid="{00000000-0005-0000-0000-0000FB000000}"/>
    <cellStyle name="20% - Accent2 3 2 3 3 2" xfId="13785" xr:uid="{1873C86A-C2CD-4BD8-AD28-71E26C661974}"/>
    <cellStyle name="20% - Accent2 3 2 3 4" xfId="9567" xr:uid="{57C94C19-F4FD-4B34-85A9-DEDBF59B9164}"/>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16343" xr:uid="{870C4F29-BB97-47C8-A974-A6F0DBCAABCE}"/>
    <cellStyle name="20% - Accent2 3 2 4 2 3" xfId="12125" xr:uid="{78FB62CF-EA70-4D63-8628-3C44159F4978}"/>
    <cellStyle name="20% - Accent2 3 2 4 3" xfId="5759" xr:uid="{00000000-0005-0000-0000-0000FF000000}"/>
    <cellStyle name="20% - Accent2 3 2 4 3 2" xfId="14198" xr:uid="{C49F79E3-E306-484F-895B-2A459CE402D6}"/>
    <cellStyle name="20% - Accent2 3 2 4 4" xfId="9980" xr:uid="{7F4454EA-304A-412A-88DE-5C69D19AB7B1}"/>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16756" xr:uid="{29F17D59-719B-421F-9C33-42FDD5B0933B}"/>
    <cellStyle name="20% - Accent2 3 2 5 2 3" xfId="12538" xr:uid="{F33AC327-F4CD-49FE-BFA7-F72A04D871CE}"/>
    <cellStyle name="20% - Accent2 3 2 5 3" xfId="6172" xr:uid="{00000000-0005-0000-0000-000003010000}"/>
    <cellStyle name="20% - Accent2 3 2 5 3 2" xfId="14611" xr:uid="{3D64DE3A-057D-41F9-A432-FE6224ADDF01}"/>
    <cellStyle name="20% - Accent2 3 2 5 4" xfId="10393" xr:uid="{C439FC27-19DF-4957-A584-C8ED4D175A58}"/>
    <cellStyle name="20% - Accent2 3 2 6" xfId="2278" xr:uid="{00000000-0005-0000-0000-000004010000}"/>
    <cellStyle name="20% - Accent2 3 2 6 2" xfId="6585" xr:uid="{00000000-0005-0000-0000-000005010000}"/>
    <cellStyle name="20% - Accent2 3 2 6 2 2" xfId="15024" xr:uid="{CFBA6C6F-3FFC-427F-A1FA-8CE41D1E3062}"/>
    <cellStyle name="20% - Accent2 3 2 6 3" xfId="10806" xr:uid="{EFF080C9-FE62-48ED-BE45-1C38744F27A9}"/>
    <cellStyle name="20% - Accent2 3 2 7" xfId="4519" xr:uid="{00000000-0005-0000-0000-000006010000}"/>
    <cellStyle name="20% - Accent2 3 2 7 2" xfId="12958" xr:uid="{5F885D58-1645-40B6-9D57-9B01A6A77AC2}"/>
    <cellStyle name="20% - Accent2 3 2 8" xfId="8740" xr:uid="{BEA0DD19-E862-46DF-9747-45C0B1135425}"/>
    <cellStyle name="20% - Accent2 3 3" xfId="583" xr:uid="{00000000-0005-0000-0000-000007010000}"/>
    <cellStyle name="20% - Accent2 3 3 2" xfId="2854" xr:uid="{00000000-0005-0000-0000-000008010000}"/>
    <cellStyle name="20% - Accent2 3 3 2 2" xfId="7077" xr:uid="{00000000-0005-0000-0000-000009010000}"/>
    <cellStyle name="20% - Accent2 3 3 2 2 2" xfId="15516" xr:uid="{301A9593-46AA-4137-9416-5461361F11A4}"/>
    <cellStyle name="20% - Accent2 3 3 2 3" xfId="11298" xr:uid="{481D73FD-1D65-43B1-B90D-2C234607EED4}"/>
    <cellStyle name="20% - Accent2 3 3 3" xfId="4932" xr:uid="{00000000-0005-0000-0000-00000A010000}"/>
    <cellStyle name="20% - Accent2 3 3 3 2" xfId="13371" xr:uid="{1AF1555E-6CE1-4B01-8729-75F10417F002}"/>
    <cellStyle name="20% - Accent2 3 3 4" xfId="9153" xr:uid="{8D88FEE1-4427-4B38-8E3E-EF8AC578F91B}"/>
    <cellStyle name="20% - Accent2 3 4" xfId="1036" xr:uid="{00000000-0005-0000-0000-00000B010000}"/>
    <cellStyle name="20% - Accent2 3 4 2" xfId="3267" xr:uid="{00000000-0005-0000-0000-00000C010000}"/>
    <cellStyle name="20% - Accent2 3 4 2 2" xfId="7490" xr:uid="{00000000-0005-0000-0000-00000D010000}"/>
    <cellStyle name="20% - Accent2 3 4 2 2 2" xfId="15929" xr:uid="{7A2BD07E-5575-4105-9731-4BACB57EB1F6}"/>
    <cellStyle name="20% - Accent2 3 4 2 3" xfId="11711" xr:uid="{93F1A83F-01AD-4FA2-B2C8-8E33E17ED037}"/>
    <cellStyle name="20% - Accent2 3 4 3" xfId="5345" xr:uid="{00000000-0005-0000-0000-00000E010000}"/>
    <cellStyle name="20% - Accent2 3 4 3 2" xfId="13784" xr:uid="{2D60EC8E-2CBA-4967-987D-0B2C2A2392F4}"/>
    <cellStyle name="20% - Accent2 3 4 4" xfId="9566" xr:uid="{42F7098C-22DD-47E2-B51F-27CE50FC8799}"/>
    <cellStyle name="20% - Accent2 3 5" xfId="1450" xr:uid="{00000000-0005-0000-0000-00000F010000}"/>
    <cellStyle name="20% - Accent2 3 5 2" xfId="3680" xr:uid="{00000000-0005-0000-0000-000010010000}"/>
    <cellStyle name="20% - Accent2 3 5 2 2" xfId="7903" xr:uid="{00000000-0005-0000-0000-000011010000}"/>
    <cellStyle name="20% - Accent2 3 5 2 2 2" xfId="16342" xr:uid="{7B85EC18-A8CB-425C-B773-B545D617F794}"/>
    <cellStyle name="20% - Accent2 3 5 2 3" xfId="12124" xr:uid="{8D19BA4D-5705-4ECA-BC2C-748270A67811}"/>
    <cellStyle name="20% - Accent2 3 5 3" xfId="5758" xr:uid="{00000000-0005-0000-0000-000012010000}"/>
    <cellStyle name="20% - Accent2 3 5 3 2" xfId="14197" xr:uid="{28BC149E-56EA-4885-8707-75F515DB4F81}"/>
    <cellStyle name="20% - Accent2 3 5 4" xfId="9979" xr:uid="{8282AAD2-B7EB-4F4B-97BB-129C2681DF36}"/>
    <cellStyle name="20% - Accent2 3 6" xfId="1864" xr:uid="{00000000-0005-0000-0000-000013010000}"/>
    <cellStyle name="20% - Accent2 3 6 2" xfId="4093" xr:uid="{00000000-0005-0000-0000-000014010000}"/>
    <cellStyle name="20% - Accent2 3 6 2 2" xfId="8316" xr:uid="{00000000-0005-0000-0000-000015010000}"/>
    <cellStyle name="20% - Accent2 3 6 2 2 2" xfId="16755" xr:uid="{A917995F-EB1E-4A83-8C1E-36F3D645F390}"/>
    <cellStyle name="20% - Accent2 3 6 2 3" xfId="12537" xr:uid="{9D12A168-EDB6-4A7D-ABF8-3CF0ABEC75F1}"/>
    <cellStyle name="20% - Accent2 3 6 3" xfId="6171" xr:uid="{00000000-0005-0000-0000-000016010000}"/>
    <cellStyle name="20% - Accent2 3 6 3 2" xfId="14610" xr:uid="{66705189-E62A-4A9B-81F3-32663F1DAE44}"/>
    <cellStyle name="20% - Accent2 3 6 4" xfId="10392" xr:uid="{3981AF8E-667A-476C-8B9D-92BAFAFEB8BA}"/>
    <cellStyle name="20% - Accent2 3 7" xfId="2277" xr:uid="{00000000-0005-0000-0000-000017010000}"/>
    <cellStyle name="20% - Accent2 3 7 2" xfId="6584" xr:uid="{00000000-0005-0000-0000-000018010000}"/>
    <cellStyle name="20% - Accent2 3 7 2 2" xfId="15023" xr:uid="{F42E4593-786A-4636-9CF2-83B1981866BF}"/>
    <cellStyle name="20% - Accent2 3 7 3" xfId="10805" xr:uid="{ED8805A3-163E-4AC1-9891-5EBD15E4581C}"/>
    <cellStyle name="20% - Accent2 3 8" xfId="4518" xr:uid="{00000000-0005-0000-0000-000019010000}"/>
    <cellStyle name="20% - Accent2 3 8 2" xfId="12957" xr:uid="{C3993F1F-AAD2-4220-83B0-840A91ABB073}"/>
    <cellStyle name="20% - Accent2 3 9" xfId="8739" xr:uid="{8D233BF4-383E-403C-94F4-74BA8C5E693D}"/>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15518" xr:uid="{0FC22DF6-5AF8-4840-A8E9-ACCDBEA9FE3C}"/>
    <cellStyle name="20% - Accent2 4 2 2 3" xfId="11300" xr:uid="{CCA561F0-0F4F-4D4A-8389-C812C4568CC9}"/>
    <cellStyle name="20% - Accent2 4 2 3" xfId="4934" xr:uid="{00000000-0005-0000-0000-00001E010000}"/>
    <cellStyle name="20% - Accent2 4 2 3 2" xfId="13373" xr:uid="{F4CB57D0-F173-4459-B5DF-10FCD583C3F8}"/>
    <cellStyle name="20% - Accent2 4 2 4" xfId="9155" xr:uid="{A34B0FD4-56E6-4FCC-806C-9AA69670EF17}"/>
    <cellStyle name="20% - Accent2 4 3" xfId="1038" xr:uid="{00000000-0005-0000-0000-00001F010000}"/>
    <cellStyle name="20% - Accent2 4 3 2" xfId="3269" xr:uid="{00000000-0005-0000-0000-000020010000}"/>
    <cellStyle name="20% - Accent2 4 3 2 2" xfId="7492" xr:uid="{00000000-0005-0000-0000-000021010000}"/>
    <cellStyle name="20% - Accent2 4 3 2 2 2" xfId="15931" xr:uid="{3C7627B5-FDD4-47E6-AEC5-AA8F3BEF7E51}"/>
    <cellStyle name="20% - Accent2 4 3 2 3" xfId="11713" xr:uid="{3C5B1214-7727-426F-B227-91D229922ECD}"/>
    <cellStyle name="20% - Accent2 4 3 3" xfId="5347" xr:uid="{00000000-0005-0000-0000-000022010000}"/>
    <cellStyle name="20% - Accent2 4 3 3 2" xfId="13786" xr:uid="{062BEFD6-B31B-4157-9016-A74626507A3F}"/>
    <cellStyle name="20% - Accent2 4 3 4" xfId="9568" xr:uid="{62E9EA45-A314-48FD-B04A-68F0A6500D78}"/>
    <cellStyle name="20% - Accent2 4 4" xfId="1452" xr:uid="{00000000-0005-0000-0000-000023010000}"/>
    <cellStyle name="20% - Accent2 4 4 2" xfId="3682" xr:uid="{00000000-0005-0000-0000-000024010000}"/>
    <cellStyle name="20% - Accent2 4 4 2 2" xfId="7905" xr:uid="{00000000-0005-0000-0000-000025010000}"/>
    <cellStyle name="20% - Accent2 4 4 2 2 2" xfId="16344" xr:uid="{AE73ED42-92B2-4FE0-888A-34A5C98287AC}"/>
    <cellStyle name="20% - Accent2 4 4 2 3" xfId="12126" xr:uid="{826368D5-52B0-467E-9A30-2C52DF8EC1FA}"/>
    <cellStyle name="20% - Accent2 4 4 3" xfId="5760" xr:uid="{00000000-0005-0000-0000-000026010000}"/>
    <cellStyle name="20% - Accent2 4 4 3 2" xfId="14199" xr:uid="{13BB4FEE-53F5-4620-A1B2-A83841F3E2D3}"/>
    <cellStyle name="20% - Accent2 4 4 4" xfId="9981" xr:uid="{D37CD05C-8C94-4F18-BC63-190E99E78B8D}"/>
    <cellStyle name="20% - Accent2 4 5" xfId="1866" xr:uid="{00000000-0005-0000-0000-000027010000}"/>
    <cellStyle name="20% - Accent2 4 5 2" xfId="4095" xr:uid="{00000000-0005-0000-0000-000028010000}"/>
    <cellStyle name="20% - Accent2 4 5 2 2" xfId="8318" xr:uid="{00000000-0005-0000-0000-000029010000}"/>
    <cellStyle name="20% - Accent2 4 5 2 2 2" xfId="16757" xr:uid="{F75D9B3C-CFCE-409B-933E-BCC5AB86B30E}"/>
    <cellStyle name="20% - Accent2 4 5 2 3" xfId="12539" xr:uid="{6A4B7681-B256-4D28-B347-641482E4AAC9}"/>
    <cellStyle name="20% - Accent2 4 5 3" xfId="6173" xr:uid="{00000000-0005-0000-0000-00002A010000}"/>
    <cellStyle name="20% - Accent2 4 5 3 2" xfId="14612" xr:uid="{4D002EF7-056E-4CD6-AB9C-A3700F7CB684}"/>
    <cellStyle name="20% - Accent2 4 5 4" xfId="10394" xr:uid="{E2838AAE-5BD4-439D-8998-96FD80CFF006}"/>
    <cellStyle name="20% - Accent2 4 6" xfId="2279" xr:uid="{00000000-0005-0000-0000-00002B010000}"/>
    <cellStyle name="20% - Accent2 4 6 2" xfId="6586" xr:uid="{00000000-0005-0000-0000-00002C010000}"/>
    <cellStyle name="20% - Accent2 4 6 2 2" xfId="15025" xr:uid="{34AF11AF-40C1-4DA6-B562-DABBD69B97C9}"/>
    <cellStyle name="20% - Accent2 4 6 3" xfId="10807" xr:uid="{DDB074D7-5E6F-4AB3-AE12-0B4D29B89FDB}"/>
    <cellStyle name="20% - Accent2 4 7" xfId="4520" xr:uid="{00000000-0005-0000-0000-00002D010000}"/>
    <cellStyle name="20% - Accent2 4 7 2" xfId="12959" xr:uid="{46D6F14F-0942-4AE2-AF64-1B7994203EF0}"/>
    <cellStyle name="20% - Accent2 4 8" xfId="8741" xr:uid="{CB856B55-D0FE-4DBA-87EB-6AB8191D556A}"/>
    <cellStyle name="20% - Accent2 5" xfId="578" xr:uid="{00000000-0005-0000-0000-00002E010000}"/>
    <cellStyle name="20% - Accent2 5 2" xfId="2849" xr:uid="{00000000-0005-0000-0000-00002F010000}"/>
    <cellStyle name="20% - Accent2 5 2 2" xfId="7072" xr:uid="{00000000-0005-0000-0000-000030010000}"/>
    <cellStyle name="20% - Accent2 5 2 2 2" xfId="15511" xr:uid="{195E5315-E8DC-4132-B22D-CBC5927CD4EB}"/>
    <cellStyle name="20% - Accent2 5 2 3" xfId="11293" xr:uid="{3BB06A38-9E6B-485D-A954-04517F64034C}"/>
    <cellStyle name="20% - Accent2 5 3" xfId="4927" xr:uid="{00000000-0005-0000-0000-000031010000}"/>
    <cellStyle name="20% - Accent2 5 3 2" xfId="13366" xr:uid="{41EB285B-6100-4B70-BF45-4F2F03ED4239}"/>
    <cellStyle name="20% - Accent2 5 4" xfId="9148" xr:uid="{662E3CAF-A2B1-4249-968A-B400DB5EFEAB}"/>
    <cellStyle name="20% - Accent2 6" xfId="1031" xr:uid="{00000000-0005-0000-0000-000032010000}"/>
    <cellStyle name="20% - Accent2 6 2" xfId="3262" xr:uid="{00000000-0005-0000-0000-000033010000}"/>
    <cellStyle name="20% - Accent2 6 2 2" xfId="7485" xr:uid="{00000000-0005-0000-0000-000034010000}"/>
    <cellStyle name="20% - Accent2 6 2 2 2" xfId="15924" xr:uid="{D613F70D-0D6F-44BA-9194-EA060DFF653D}"/>
    <cellStyle name="20% - Accent2 6 2 3" xfId="11706" xr:uid="{46447ACD-E0C9-40DE-83EA-6C2B0CA5D6D4}"/>
    <cellStyle name="20% - Accent2 6 3" xfId="5340" xr:uid="{00000000-0005-0000-0000-000035010000}"/>
    <cellStyle name="20% - Accent2 6 3 2" xfId="13779" xr:uid="{50A2AD4F-1EEE-40D6-B7C2-D67A2C4F67A8}"/>
    <cellStyle name="20% - Accent2 6 4" xfId="9561" xr:uid="{B9738311-77A1-42A9-BA14-CC5A1AEF39F8}"/>
    <cellStyle name="20% - Accent2 7" xfId="1445" xr:uid="{00000000-0005-0000-0000-000036010000}"/>
    <cellStyle name="20% - Accent2 7 2" xfId="3675" xr:uid="{00000000-0005-0000-0000-000037010000}"/>
    <cellStyle name="20% - Accent2 7 2 2" xfId="7898" xr:uid="{00000000-0005-0000-0000-000038010000}"/>
    <cellStyle name="20% - Accent2 7 2 2 2" xfId="16337" xr:uid="{8060BC20-D256-4954-8287-552BA18592F4}"/>
    <cellStyle name="20% - Accent2 7 2 3" xfId="12119" xr:uid="{1767B2A8-02AC-40AF-B439-34CEE6EE46CD}"/>
    <cellStyle name="20% - Accent2 7 3" xfId="5753" xr:uid="{00000000-0005-0000-0000-000039010000}"/>
    <cellStyle name="20% - Accent2 7 3 2" xfId="14192" xr:uid="{F51B876C-0111-4A50-BB41-965E62D6F9FD}"/>
    <cellStyle name="20% - Accent2 7 4" xfId="9974" xr:uid="{CAD30615-FF56-4778-B126-F9D0E2F3212C}"/>
    <cellStyle name="20% - Accent2 8" xfId="1859" xr:uid="{00000000-0005-0000-0000-00003A010000}"/>
    <cellStyle name="20% - Accent2 8 2" xfId="4088" xr:uid="{00000000-0005-0000-0000-00003B010000}"/>
    <cellStyle name="20% - Accent2 8 2 2" xfId="8311" xr:uid="{00000000-0005-0000-0000-00003C010000}"/>
    <cellStyle name="20% - Accent2 8 2 2 2" xfId="16750" xr:uid="{558C9581-5F88-4C4C-8765-1B2E8C27C987}"/>
    <cellStyle name="20% - Accent2 8 2 3" xfId="12532" xr:uid="{27BCE3B5-8278-42A0-99E9-3987838B7AC6}"/>
    <cellStyle name="20% - Accent2 8 3" xfId="6166" xr:uid="{00000000-0005-0000-0000-00003D010000}"/>
    <cellStyle name="20% - Accent2 8 3 2" xfId="14605" xr:uid="{50B942EF-9C11-47E2-B791-3B5DF6BAD16E}"/>
    <cellStyle name="20% - Accent2 8 4" xfId="10387" xr:uid="{D7B1A9EC-4181-4EB4-9418-54954F9DD499}"/>
    <cellStyle name="20% - Accent2 9" xfId="2272" xr:uid="{00000000-0005-0000-0000-00003E010000}"/>
    <cellStyle name="20% - Accent2 9 2" xfId="6579" xr:uid="{00000000-0005-0000-0000-00003F010000}"/>
    <cellStyle name="20% - Accent2 9 2 2" xfId="15018" xr:uid="{20019CB7-AE4A-4DA8-8B1D-1AA86837AE81}"/>
    <cellStyle name="20% - Accent2 9 3" xfId="10800" xr:uid="{6D294C88-5FBD-40B8-B62C-C569B62DE412}"/>
    <cellStyle name="20% - Accent3" xfId="17" builtinId="38" customBuiltin="1"/>
    <cellStyle name="20% - Accent3 10" xfId="4521" xr:uid="{00000000-0005-0000-0000-000041010000}"/>
    <cellStyle name="20% - Accent3 10 2" xfId="12960" xr:uid="{265F54B9-1200-4208-BABE-91B2957045BD}"/>
    <cellStyle name="20% - Accent3 11" xfId="8742" xr:uid="{3B844494-9C36-4689-81DD-7D88FD45DA54}"/>
    <cellStyle name="20% - Accent3 2" xfId="18" xr:uid="{00000000-0005-0000-0000-000042010000}"/>
    <cellStyle name="20% - Accent3 2 10" xfId="8743" xr:uid="{D1CBCDDE-0D76-4258-9068-1A5EB605DE03}"/>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5522" xr:uid="{F884E22D-FBAB-479A-82A7-4ED055ABA4E1}"/>
    <cellStyle name="20% - Accent3 2 2 2 2 2 3" xfId="11304" xr:uid="{5A7D0738-2D7C-44F0-835E-3FC5F9BB5276}"/>
    <cellStyle name="20% - Accent3 2 2 2 2 3" xfId="4938" xr:uid="{00000000-0005-0000-0000-000048010000}"/>
    <cellStyle name="20% - Accent3 2 2 2 2 3 2" xfId="13377" xr:uid="{52ACBE86-D4D1-43B6-B780-187426443F49}"/>
    <cellStyle name="20% - Accent3 2 2 2 2 4" xfId="9159" xr:uid="{506AA502-7B09-4143-9A23-D347C2F914DF}"/>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15935" xr:uid="{59573C76-E042-4DFB-B115-8C6F3EA0E042}"/>
    <cellStyle name="20% - Accent3 2 2 2 3 2 3" xfId="11717" xr:uid="{34AA3397-52FC-4473-A6CC-FD525C7DF629}"/>
    <cellStyle name="20% - Accent3 2 2 2 3 3" xfId="5351" xr:uid="{00000000-0005-0000-0000-00004C010000}"/>
    <cellStyle name="20% - Accent3 2 2 2 3 3 2" xfId="13790" xr:uid="{54C553E7-C00E-4952-A3DA-CB85A3EC670C}"/>
    <cellStyle name="20% - Accent3 2 2 2 3 4" xfId="9572" xr:uid="{351941F5-D7C3-49D8-B5C4-9BB0866B7451}"/>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16348" xr:uid="{F57862B0-7E9A-4FEB-87F6-B26814DBD4FE}"/>
    <cellStyle name="20% - Accent3 2 2 2 4 2 3" xfId="12130" xr:uid="{0A96B31E-0A37-419E-A9D2-D2DCFB28CA1C}"/>
    <cellStyle name="20% - Accent3 2 2 2 4 3" xfId="5764" xr:uid="{00000000-0005-0000-0000-000050010000}"/>
    <cellStyle name="20% - Accent3 2 2 2 4 3 2" xfId="14203" xr:uid="{F4E99C32-8B26-4BB0-BFA3-45FED47969BB}"/>
    <cellStyle name="20% - Accent3 2 2 2 4 4" xfId="9985" xr:uid="{641C2681-9320-4945-85FC-082ADB09A1EA}"/>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16761" xr:uid="{D61C6B25-A3CD-4270-85AF-13C1657C0FB6}"/>
    <cellStyle name="20% - Accent3 2 2 2 5 2 3" xfId="12543" xr:uid="{84286549-993A-4055-A66B-C3C1E4A375E3}"/>
    <cellStyle name="20% - Accent3 2 2 2 5 3" xfId="6177" xr:uid="{00000000-0005-0000-0000-000054010000}"/>
    <cellStyle name="20% - Accent3 2 2 2 5 3 2" xfId="14616" xr:uid="{07B14E1B-59F6-4D3A-8CE2-4D94FB1A802C}"/>
    <cellStyle name="20% - Accent3 2 2 2 5 4" xfId="10398" xr:uid="{5F401835-B69B-4977-8461-B5122F69B035}"/>
    <cellStyle name="20% - Accent3 2 2 2 6" xfId="2283" xr:uid="{00000000-0005-0000-0000-000055010000}"/>
    <cellStyle name="20% - Accent3 2 2 2 6 2" xfId="6590" xr:uid="{00000000-0005-0000-0000-000056010000}"/>
    <cellStyle name="20% - Accent3 2 2 2 6 2 2" xfId="15029" xr:uid="{B439184C-FE4E-43FA-8882-131284CCFF9F}"/>
    <cellStyle name="20% - Accent3 2 2 2 6 3" xfId="10811" xr:uid="{9586F654-269F-4CFB-B495-2990D8D22AA8}"/>
    <cellStyle name="20% - Accent3 2 2 2 7" xfId="4524" xr:uid="{00000000-0005-0000-0000-000057010000}"/>
    <cellStyle name="20% - Accent3 2 2 2 7 2" xfId="12963" xr:uid="{C2E57C0B-E512-49A2-A076-A856EB3B7173}"/>
    <cellStyle name="20% - Accent3 2 2 2 8" xfId="8745" xr:uid="{D051E3AB-C6AA-4635-859F-13432F6145D5}"/>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5521" xr:uid="{C413964C-3EDD-4209-B206-1CF2D4F52A44}"/>
    <cellStyle name="20% - Accent3 2 2 3 2 3" xfId="11303" xr:uid="{776DBA75-EDC5-4DA8-A157-887B0B558F7A}"/>
    <cellStyle name="20% - Accent3 2 2 3 3" xfId="4937" xr:uid="{00000000-0005-0000-0000-00005B010000}"/>
    <cellStyle name="20% - Accent3 2 2 3 3 2" xfId="13376" xr:uid="{B32883E4-688D-4E9D-9A13-09FC04854E4D}"/>
    <cellStyle name="20% - Accent3 2 2 3 4" xfId="9158" xr:uid="{8BC67BAF-890D-4853-B068-F3F3422031A6}"/>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15934" xr:uid="{E63F2CF4-11AF-4A09-9A13-FE3E66ECCD98}"/>
    <cellStyle name="20% - Accent3 2 2 4 2 3" xfId="11716" xr:uid="{E65EBBF5-1ED7-44A8-AD0F-D596A843F856}"/>
    <cellStyle name="20% - Accent3 2 2 4 3" xfId="5350" xr:uid="{00000000-0005-0000-0000-00005F010000}"/>
    <cellStyle name="20% - Accent3 2 2 4 3 2" xfId="13789" xr:uid="{98047FFD-9781-4BCA-9185-0DD5A0E9F0A3}"/>
    <cellStyle name="20% - Accent3 2 2 4 4" xfId="9571" xr:uid="{EC4CCC21-E296-4236-845E-5C5C043150B2}"/>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16347" xr:uid="{7BD31585-33D1-449B-9686-BA92C3D9860F}"/>
    <cellStyle name="20% - Accent3 2 2 5 2 3" xfId="12129" xr:uid="{40140C3E-D534-4A43-B536-6776001E5E5D}"/>
    <cellStyle name="20% - Accent3 2 2 5 3" xfId="5763" xr:uid="{00000000-0005-0000-0000-000063010000}"/>
    <cellStyle name="20% - Accent3 2 2 5 3 2" xfId="14202" xr:uid="{8A1CE5C6-354A-44B5-9BA1-252F37467430}"/>
    <cellStyle name="20% - Accent3 2 2 5 4" xfId="9984" xr:uid="{CD34E79E-0873-4D1D-B1BD-64C45EFC482C}"/>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16760" xr:uid="{AA1D7789-4506-402A-AAFE-813F6F80B0D4}"/>
    <cellStyle name="20% - Accent3 2 2 6 2 3" xfId="12542" xr:uid="{464DC601-231C-488D-B5B0-3278B02951D0}"/>
    <cellStyle name="20% - Accent3 2 2 6 3" xfId="6176" xr:uid="{00000000-0005-0000-0000-000067010000}"/>
    <cellStyle name="20% - Accent3 2 2 6 3 2" xfId="14615" xr:uid="{161A0637-58CA-40E6-BF9E-23AD9BCA9D85}"/>
    <cellStyle name="20% - Accent3 2 2 6 4" xfId="10397" xr:uid="{1FF864DD-00E8-45F3-A1AF-4640BE868F0C}"/>
    <cellStyle name="20% - Accent3 2 2 7" xfId="2282" xr:uid="{00000000-0005-0000-0000-000068010000}"/>
    <cellStyle name="20% - Accent3 2 2 7 2" xfId="6589" xr:uid="{00000000-0005-0000-0000-000069010000}"/>
    <cellStyle name="20% - Accent3 2 2 7 2 2" xfId="15028" xr:uid="{A434D6A1-F118-4717-BC46-C75ADCEC5409}"/>
    <cellStyle name="20% - Accent3 2 2 7 3" xfId="10810" xr:uid="{123DB21D-2D71-4AE9-9E56-8C901CE166FC}"/>
    <cellStyle name="20% - Accent3 2 2 8" xfId="4523" xr:uid="{00000000-0005-0000-0000-00006A010000}"/>
    <cellStyle name="20% - Accent3 2 2 8 2" xfId="12962" xr:uid="{37B7CF93-73F3-43E9-8ACC-89F4225BD107}"/>
    <cellStyle name="20% - Accent3 2 2 9" xfId="8744" xr:uid="{6256E178-8AA1-4C6D-A486-F717B37920F4}"/>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5523" xr:uid="{4371959C-57C5-484D-B49F-55B2B3F57845}"/>
    <cellStyle name="20% - Accent3 2 3 2 2 3" xfId="11305" xr:uid="{6D333A00-9A40-402B-963C-52FBC6DAAB73}"/>
    <cellStyle name="20% - Accent3 2 3 2 3" xfId="4939" xr:uid="{00000000-0005-0000-0000-00006F010000}"/>
    <cellStyle name="20% - Accent3 2 3 2 3 2" xfId="13378" xr:uid="{CAFBA052-2EE1-412C-A6B1-607E26AAB654}"/>
    <cellStyle name="20% - Accent3 2 3 2 4" xfId="9160" xr:uid="{2F822526-BB51-4C0C-A3EE-C1FFB92D2867}"/>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15936" xr:uid="{173F540C-C714-4EBD-A598-5935B85EAFBA}"/>
    <cellStyle name="20% - Accent3 2 3 3 2 3" xfId="11718" xr:uid="{5E9AB17C-BDF7-4EAC-88F6-0B028F01B2D2}"/>
    <cellStyle name="20% - Accent3 2 3 3 3" xfId="5352" xr:uid="{00000000-0005-0000-0000-000073010000}"/>
    <cellStyle name="20% - Accent3 2 3 3 3 2" xfId="13791" xr:uid="{0D39D6CF-ED48-40FC-A04B-2835BEAD7600}"/>
    <cellStyle name="20% - Accent3 2 3 3 4" xfId="9573" xr:uid="{801D9D78-3330-4745-A811-E7EE07DF97C4}"/>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16349" xr:uid="{E65C1863-2BAF-4EAE-9877-A6024472D91D}"/>
    <cellStyle name="20% - Accent3 2 3 4 2 3" xfId="12131" xr:uid="{CB228494-F764-4768-828F-7F36A889F6B4}"/>
    <cellStyle name="20% - Accent3 2 3 4 3" xfId="5765" xr:uid="{00000000-0005-0000-0000-000077010000}"/>
    <cellStyle name="20% - Accent3 2 3 4 3 2" xfId="14204" xr:uid="{FCF375F6-2715-4F9B-A795-EC88BC3EEFE5}"/>
    <cellStyle name="20% - Accent3 2 3 4 4" xfId="9986" xr:uid="{F90B7777-55FE-4E01-97A8-A90F88A864DF}"/>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16762" xr:uid="{5CFDEBC3-D4AE-4362-9E7E-DBAEF25458DC}"/>
    <cellStyle name="20% - Accent3 2 3 5 2 3" xfId="12544" xr:uid="{A40224FD-4DDA-4F38-A0A2-BFE5E10777CB}"/>
    <cellStyle name="20% - Accent3 2 3 5 3" xfId="6178" xr:uid="{00000000-0005-0000-0000-00007B010000}"/>
    <cellStyle name="20% - Accent3 2 3 5 3 2" xfId="14617" xr:uid="{CB0E68EB-D585-49B5-8CA8-F7F4ACF0E4D9}"/>
    <cellStyle name="20% - Accent3 2 3 5 4" xfId="10399" xr:uid="{24209F95-3810-4FD0-8CB5-224CB6AA382B}"/>
    <cellStyle name="20% - Accent3 2 3 6" xfId="2284" xr:uid="{00000000-0005-0000-0000-00007C010000}"/>
    <cellStyle name="20% - Accent3 2 3 6 2" xfId="6591" xr:uid="{00000000-0005-0000-0000-00007D010000}"/>
    <cellStyle name="20% - Accent3 2 3 6 2 2" xfId="15030" xr:uid="{EEF0F1A0-304E-48CF-8055-A05ED1A04E07}"/>
    <cellStyle name="20% - Accent3 2 3 6 3" xfId="10812" xr:uid="{32C480F3-5EA5-4A56-BCF5-FB7C680EDF01}"/>
    <cellStyle name="20% - Accent3 2 3 7" xfId="4525" xr:uid="{00000000-0005-0000-0000-00007E010000}"/>
    <cellStyle name="20% - Accent3 2 3 7 2" xfId="12964" xr:uid="{98BD708F-8CC5-4C83-966F-8A1C32245D16}"/>
    <cellStyle name="20% - Accent3 2 3 8" xfId="8746" xr:uid="{A4FBD869-BDB7-4FE0-AD5F-60B8D0886DB4}"/>
    <cellStyle name="20% - Accent3 2 4" xfId="587" xr:uid="{00000000-0005-0000-0000-00007F010000}"/>
    <cellStyle name="20% - Accent3 2 4 2" xfId="2858" xr:uid="{00000000-0005-0000-0000-000080010000}"/>
    <cellStyle name="20% - Accent3 2 4 2 2" xfId="7081" xr:uid="{00000000-0005-0000-0000-000081010000}"/>
    <cellStyle name="20% - Accent3 2 4 2 2 2" xfId="15520" xr:uid="{97A6ED2B-D10C-477C-AEB8-E4981C793BED}"/>
    <cellStyle name="20% - Accent3 2 4 2 3" xfId="11302" xr:uid="{28277602-93C6-4D3D-9578-58B296394803}"/>
    <cellStyle name="20% - Accent3 2 4 3" xfId="4936" xr:uid="{00000000-0005-0000-0000-000082010000}"/>
    <cellStyle name="20% - Accent3 2 4 3 2" xfId="13375" xr:uid="{C63D797A-CEA9-44C5-9D81-B0F5FC4C1DD7}"/>
    <cellStyle name="20% - Accent3 2 4 4" xfId="9157" xr:uid="{B26309B9-3631-4FBB-8F25-5D63C9198906}"/>
    <cellStyle name="20% - Accent3 2 5" xfId="1040" xr:uid="{00000000-0005-0000-0000-000083010000}"/>
    <cellStyle name="20% - Accent3 2 5 2" xfId="3271" xr:uid="{00000000-0005-0000-0000-000084010000}"/>
    <cellStyle name="20% - Accent3 2 5 2 2" xfId="7494" xr:uid="{00000000-0005-0000-0000-000085010000}"/>
    <cellStyle name="20% - Accent3 2 5 2 2 2" xfId="15933" xr:uid="{D5071673-9B37-46E0-9561-2F37AE9DCDEC}"/>
    <cellStyle name="20% - Accent3 2 5 2 3" xfId="11715" xr:uid="{477B3D76-C1CA-4051-B54A-1E37A0A6326A}"/>
    <cellStyle name="20% - Accent3 2 5 3" xfId="5349" xr:uid="{00000000-0005-0000-0000-000086010000}"/>
    <cellStyle name="20% - Accent3 2 5 3 2" xfId="13788" xr:uid="{5FC5793B-D528-4FB4-9656-C8D427A2A4E4}"/>
    <cellStyle name="20% - Accent3 2 5 4" xfId="9570" xr:uid="{ED774402-10A7-47D2-A6F8-0BE42FEE56B1}"/>
    <cellStyle name="20% - Accent3 2 6" xfId="1454" xr:uid="{00000000-0005-0000-0000-000087010000}"/>
    <cellStyle name="20% - Accent3 2 6 2" xfId="3684" xr:uid="{00000000-0005-0000-0000-000088010000}"/>
    <cellStyle name="20% - Accent3 2 6 2 2" xfId="7907" xr:uid="{00000000-0005-0000-0000-000089010000}"/>
    <cellStyle name="20% - Accent3 2 6 2 2 2" xfId="16346" xr:uid="{5BAD0DC1-BC10-4F16-954F-90DADB4FB3B1}"/>
    <cellStyle name="20% - Accent3 2 6 2 3" xfId="12128" xr:uid="{B525571B-61E2-4825-9CB5-935F33B00743}"/>
    <cellStyle name="20% - Accent3 2 6 3" xfId="5762" xr:uid="{00000000-0005-0000-0000-00008A010000}"/>
    <cellStyle name="20% - Accent3 2 6 3 2" xfId="14201" xr:uid="{7B6E7241-E8C4-44E0-9690-44DC059CF9C6}"/>
    <cellStyle name="20% - Accent3 2 6 4" xfId="9983" xr:uid="{7BCF5663-F7F1-4EFC-84D0-438D007D2CD4}"/>
    <cellStyle name="20% - Accent3 2 7" xfId="1868" xr:uid="{00000000-0005-0000-0000-00008B010000}"/>
    <cellStyle name="20% - Accent3 2 7 2" xfId="4097" xr:uid="{00000000-0005-0000-0000-00008C010000}"/>
    <cellStyle name="20% - Accent3 2 7 2 2" xfId="8320" xr:uid="{00000000-0005-0000-0000-00008D010000}"/>
    <cellStyle name="20% - Accent3 2 7 2 2 2" xfId="16759" xr:uid="{2BFE3C96-47A1-47DA-ACCB-51723F246B81}"/>
    <cellStyle name="20% - Accent3 2 7 2 3" xfId="12541" xr:uid="{DD325B20-40D6-4F23-9C39-E58774C9BB06}"/>
    <cellStyle name="20% - Accent3 2 7 3" xfId="6175" xr:uid="{00000000-0005-0000-0000-00008E010000}"/>
    <cellStyle name="20% - Accent3 2 7 3 2" xfId="14614" xr:uid="{C846E4BF-41C7-41DE-BEAB-04C13CC9656C}"/>
    <cellStyle name="20% - Accent3 2 7 4" xfId="10396" xr:uid="{E5693993-79AE-4765-A9AD-8390A9E880E8}"/>
    <cellStyle name="20% - Accent3 2 8" xfId="2281" xr:uid="{00000000-0005-0000-0000-00008F010000}"/>
    <cellStyle name="20% - Accent3 2 8 2" xfId="6588" xr:uid="{00000000-0005-0000-0000-000090010000}"/>
    <cellStyle name="20% - Accent3 2 8 2 2" xfId="15027" xr:uid="{46248827-9DE6-4384-95C0-4C61C19FA027}"/>
    <cellStyle name="20% - Accent3 2 8 3" xfId="10809" xr:uid="{30473FFC-69D4-4731-9556-CCDF2398F0FF}"/>
    <cellStyle name="20% - Accent3 2 9" xfId="4522" xr:uid="{00000000-0005-0000-0000-000091010000}"/>
    <cellStyle name="20% - Accent3 2 9 2" xfId="12961" xr:uid="{41C73EBE-60AC-4625-BEE1-E6F2B76EA1C7}"/>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5525" xr:uid="{6BC3E2FD-EB9E-45F4-AC51-244777591ECA}"/>
    <cellStyle name="20% - Accent3 3 2 2 2 3" xfId="11307" xr:uid="{ABC4546C-99AB-49A4-87BF-199F22867F7D}"/>
    <cellStyle name="20% - Accent3 3 2 2 3" xfId="4941" xr:uid="{00000000-0005-0000-0000-000097010000}"/>
    <cellStyle name="20% - Accent3 3 2 2 3 2" xfId="13380" xr:uid="{4D58F413-5274-40E0-B6A2-991FBCCEC5C2}"/>
    <cellStyle name="20% - Accent3 3 2 2 4" xfId="9162" xr:uid="{331FAE76-4288-4365-88B3-1934FF0996E2}"/>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15938" xr:uid="{DAB74E01-ED69-4427-8775-3355BAB85072}"/>
    <cellStyle name="20% - Accent3 3 2 3 2 3" xfId="11720" xr:uid="{A239D5B8-209D-4D4A-924C-FF0C892DAF0C}"/>
    <cellStyle name="20% - Accent3 3 2 3 3" xfId="5354" xr:uid="{00000000-0005-0000-0000-00009B010000}"/>
    <cellStyle name="20% - Accent3 3 2 3 3 2" xfId="13793" xr:uid="{0B0E10B7-F60E-4AE1-9EAE-5508494DF9B1}"/>
    <cellStyle name="20% - Accent3 3 2 3 4" xfId="9575" xr:uid="{0A2F2B35-A5F2-4847-8822-3230830BBF85}"/>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16351" xr:uid="{2D07E123-E98B-40D6-BDDC-44AB7778938F}"/>
    <cellStyle name="20% - Accent3 3 2 4 2 3" xfId="12133" xr:uid="{7B8D11CD-EA56-42CA-85B5-1F96F9CBF13A}"/>
    <cellStyle name="20% - Accent3 3 2 4 3" xfId="5767" xr:uid="{00000000-0005-0000-0000-00009F010000}"/>
    <cellStyle name="20% - Accent3 3 2 4 3 2" xfId="14206" xr:uid="{D3D65427-2083-4993-813C-D06FCB6F8B3E}"/>
    <cellStyle name="20% - Accent3 3 2 4 4" xfId="9988" xr:uid="{08F305D6-3508-4FBD-B2C4-BA216125EDF5}"/>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16764" xr:uid="{40498A9C-86EE-40C5-92BC-54EEC716D251}"/>
    <cellStyle name="20% - Accent3 3 2 5 2 3" xfId="12546" xr:uid="{A8A9477F-AE4C-4D88-91C0-3961B14F4725}"/>
    <cellStyle name="20% - Accent3 3 2 5 3" xfId="6180" xr:uid="{00000000-0005-0000-0000-0000A3010000}"/>
    <cellStyle name="20% - Accent3 3 2 5 3 2" xfId="14619" xr:uid="{E444AD57-F4FA-4842-8492-81F0CCD245EC}"/>
    <cellStyle name="20% - Accent3 3 2 5 4" xfId="10401" xr:uid="{EBBA7B2D-A6F7-4108-8996-966E635FDC36}"/>
    <cellStyle name="20% - Accent3 3 2 6" xfId="2286" xr:uid="{00000000-0005-0000-0000-0000A4010000}"/>
    <cellStyle name="20% - Accent3 3 2 6 2" xfId="6593" xr:uid="{00000000-0005-0000-0000-0000A5010000}"/>
    <cellStyle name="20% - Accent3 3 2 6 2 2" xfId="15032" xr:uid="{F84F232D-4E36-4311-BE04-4C7AC5A81200}"/>
    <cellStyle name="20% - Accent3 3 2 6 3" xfId="10814" xr:uid="{A70B6352-537A-410D-81EF-85E5606BB79F}"/>
    <cellStyle name="20% - Accent3 3 2 7" xfId="4527" xr:uid="{00000000-0005-0000-0000-0000A6010000}"/>
    <cellStyle name="20% - Accent3 3 2 7 2" xfId="12966" xr:uid="{A4112BC7-679A-4B7D-A4B1-CAA1ACB2D933}"/>
    <cellStyle name="20% - Accent3 3 2 8" xfId="8748" xr:uid="{952E8A75-151B-4560-A961-D31C6CF4605D}"/>
    <cellStyle name="20% - Accent3 3 3" xfId="591" xr:uid="{00000000-0005-0000-0000-0000A7010000}"/>
    <cellStyle name="20% - Accent3 3 3 2" xfId="2862" xr:uid="{00000000-0005-0000-0000-0000A8010000}"/>
    <cellStyle name="20% - Accent3 3 3 2 2" xfId="7085" xr:uid="{00000000-0005-0000-0000-0000A9010000}"/>
    <cellStyle name="20% - Accent3 3 3 2 2 2" xfId="15524" xr:uid="{6274048E-B167-462B-9188-CD4349452C73}"/>
    <cellStyle name="20% - Accent3 3 3 2 3" xfId="11306" xr:uid="{FD8ACF41-8901-4935-811F-3023E8EE122A}"/>
    <cellStyle name="20% - Accent3 3 3 3" xfId="4940" xr:uid="{00000000-0005-0000-0000-0000AA010000}"/>
    <cellStyle name="20% - Accent3 3 3 3 2" xfId="13379" xr:uid="{83E86BD1-0467-4C77-B6F4-629AA8496D4E}"/>
    <cellStyle name="20% - Accent3 3 3 4" xfId="9161" xr:uid="{A1B86298-C587-4B42-8624-BDBC3B1E132C}"/>
    <cellStyle name="20% - Accent3 3 4" xfId="1044" xr:uid="{00000000-0005-0000-0000-0000AB010000}"/>
    <cellStyle name="20% - Accent3 3 4 2" xfId="3275" xr:uid="{00000000-0005-0000-0000-0000AC010000}"/>
    <cellStyle name="20% - Accent3 3 4 2 2" xfId="7498" xr:uid="{00000000-0005-0000-0000-0000AD010000}"/>
    <cellStyle name="20% - Accent3 3 4 2 2 2" xfId="15937" xr:uid="{0622C796-5667-4EC3-8D6F-ABC978E9E18D}"/>
    <cellStyle name="20% - Accent3 3 4 2 3" xfId="11719" xr:uid="{AD05B47F-C24A-454F-9788-9DAB24A3CE1B}"/>
    <cellStyle name="20% - Accent3 3 4 3" xfId="5353" xr:uid="{00000000-0005-0000-0000-0000AE010000}"/>
    <cellStyle name="20% - Accent3 3 4 3 2" xfId="13792" xr:uid="{228D94DC-E538-44E4-829E-A7CE5E7E0448}"/>
    <cellStyle name="20% - Accent3 3 4 4" xfId="9574" xr:uid="{4C642AD0-F0AF-43C2-845C-25630895AE18}"/>
    <cellStyle name="20% - Accent3 3 5" xfId="1458" xr:uid="{00000000-0005-0000-0000-0000AF010000}"/>
    <cellStyle name="20% - Accent3 3 5 2" xfId="3688" xr:uid="{00000000-0005-0000-0000-0000B0010000}"/>
    <cellStyle name="20% - Accent3 3 5 2 2" xfId="7911" xr:uid="{00000000-0005-0000-0000-0000B1010000}"/>
    <cellStyle name="20% - Accent3 3 5 2 2 2" xfId="16350" xr:uid="{A89DEB81-8C7A-455F-8441-AB985605691E}"/>
    <cellStyle name="20% - Accent3 3 5 2 3" xfId="12132" xr:uid="{BC4DBEC4-CBF0-40E1-8807-E287416599C2}"/>
    <cellStyle name="20% - Accent3 3 5 3" xfId="5766" xr:uid="{00000000-0005-0000-0000-0000B2010000}"/>
    <cellStyle name="20% - Accent3 3 5 3 2" xfId="14205" xr:uid="{747F1E48-C14B-4984-B1ED-B7E339F3C6B5}"/>
    <cellStyle name="20% - Accent3 3 5 4" xfId="9987" xr:uid="{67E25FAE-0CAB-4843-A28D-A18B238926D9}"/>
    <cellStyle name="20% - Accent3 3 6" xfId="1872" xr:uid="{00000000-0005-0000-0000-0000B3010000}"/>
    <cellStyle name="20% - Accent3 3 6 2" xfId="4101" xr:uid="{00000000-0005-0000-0000-0000B4010000}"/>
    <cellStyle name="20% - Accent3 3 6 2 2" xfId="8324" xr:uid="{00000000-0005-0000-0000-0000B5010000}"/>
    <cellStyle name="20% - Accent3 3 6 2 2 2" xfId="16763" xr:uid="{1F53B70C-C4D5-4C93-BFF2-1582252353C4}"/>
    <cellStyle name="20% - Accent3 3 6 2 3" xfId="12545" xr:uid="{3FBEE88E-D703-405C-8DD9-F3B1EEB2732C}"/>
    <cellStyle name="20% - Accent3 3 6 3" xfId="6179" xr:uid="{00000000-0005-0000-0000-0000B6010000}"/>
    <cellStyle name="20% - Accent3 3 6 3 2" xfId="14618" xr:uid="{F9F2AB90-D888-4916-A5B1-6387281DC69A}"/>
    <cellStyle name="20% - Accent3 3 6 4" xfId="10400" xr:uid="{C46E0BEF-C049-49EE-95DE-15BDB3011E60}"/>
    <cellStyle name="20% - Accent3 3 7" xfId="2285" xr:uid="{00000000-0005-0000-0000-0000B7010000}"/>
    <cellStyle name="20% - Accent3 3 7 2" xfId="6592" xr:uid="{00000000-0005-0000-0000-0000B8010000}"/>
    <cellStyle name="20% - Accent3 3 7 2 2" xfId="15031" xr:uid="{A34D75F0-7CED-4737-AEF9-1B3AE5CA7595}"/>
    <cellStyle name="20% - Accent3 3 7 3" xfId="10813" xr:uid="{58D19735-763C-4D20-84DC-49BE5E9EFDF5}"/>
    <cellStyle name="20% - Accent3 3 8" xfId="4526" xr:uid="{00000000-0005-0000-0000-0000B9010000}"/>
    <cellStyle name="20% - Accent3 3 8 2" xfId="12965" xr:uid="{1161BF1E-14F6-4A71-8B60-3BB078A2CA71}"/>
    <cellStyle name="20% - Accent3 3 9" xfId="8747" xr:uid="{CF36A7EA-4ACC-4B2A-B082-D441FF6A13D2}"/>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15526" xr:uid="{6D61A4CD-00F3-4152-BCF6-56E971CCD999}"/>
    <cellStyle name="20% - Accent3 4 2 2 3" xfId="11308" xr:uid="{D616EEF6-EB14-4D3B-A931-53E8D6B8AE04}"/>
    <cellStyle name="20% - Accent3 4 2 3" xfId="4942" xr:uid="{00000000-0005-0000-0000-0000BE010000}"/>
    <cellStyle name="20% - Accent3 4 2 3 2" xfId="13381" xr:uid="{A442656C-9ACE-4555-8E22-958EFAE78B1F}"/>
    <cellStyle name="20% - Accent3 4 2 4" xfId="9163" xr:uid="{2FA10DE9-A8F3-44B3-A919-A9BBCF69382F}"/>
    <cellStyle name="20% - Accent3 4 3" xfId="1046" xr:uid="{00000000-0005-0000-0000-0000BF010000}"/>
    <cellStyle name="20% - Accent3 4 3 2" xfId="3277" xr:uid="{00000000-0005-0000-0000-0000C0010000}"/>
    <cellStyle name="20% - Accent3 4 3 2 2" xfId="7500" xr:uid="{00000000-0005-0000-0000-0000C1010000}"/>
    <cellStyle name="20% - Accent3 4 3 2 2 2" xfId="15939" xr:uid="{C56EF76F-586F-48CB-8D28-2CE2C6502C40}"/>
    <cellStyle name="20% - Accent3 4 3 2 3" xfId="11721" xr:uid="{40861277-1988-4EC0-A595-BF3E898EB364}"/>
    <cellStyle name="20% - Accent3 4 3 3" xfId="5355" xr:uid="{00000000-0005-0000-0000-0000C2010000}"/>
    <cellStyle name="20% - Accent3 4 3 3 2" xfId="13794" xr:uid="{1AFC22C4-2E29-465D-8AAB-4A84F08BC830}"/>
    <cellStyle name="20% - Accent3 4 3 4" xfId="9576" xr:uid="{9A1E81E9-D6EB-4279-B423-88B2FCFB5F57}"/>
    <cellStyle name="20% - Accent3 4 4" xfId="1460" xr:uid="{00000000-0005-0000-0000-0000C3010000}"/>
    <cellStyle name="20% - Accent3 4 4 2" xfId="3690" xr:uid="{00000000-0005-0000-0000-0000C4010000}"/>
    <cellStyle name="20% - Accent3 4 4 2 2" xfId="7913" xr:uid="{00000000-0005-0000-0000-0000C5010000}"/>
    <cellStyle name="20% - Accent3 4 4 2 2 2" xfId="16352" xr:uid="{5BB96509-69DA-43A2-8995-D0DE015824B3}"/>
    <cellStyle name="20% - Accent3 4 4 2 3" xfId="12134" xr:uid="{862CD5AF-FD97-464F-91FF-6BB3B105F60F}"/>
    <cellStyle name="20% - Accent3 4 4 3" xfId="5768" xr:uid="{00000000-0005-0000-0000-0000C6010000}"/>
    <cellStyle name="20% - Accent3 4 4 3 2" xfId="14207" xr:uid="{14E37E79-77A1-495A-AE96-F25DA413E16A}"/>
    <cellStyle name="20% - Accent3 4 4 4" xfId="9989" xr:uid="{95E41735-25D6-4F55-9A99-3FB680624E6E}"/>
    <cellStyle name="20% - Accent3 4 5" xfId="1874" xr:uid="{00000000-0005-0000-0000-0000C7010000}"/>
    <cellStyle name="20% - Accent3 4 5 2" xfId="4103" xr:uid="{00000000-0005-0000-0000-0000C8010000}"/>
    <cellStyle name="20% - Accent3 4 5 2 2" xfId="8326" xr:uid="{00000000-0005-0000-0000-0000C9010000}"/>
    <cellStyle name="20% - Accent3 4 5 2 2 2" xfId="16765" xr:uid="{874E2FD5-2F23-41F1-B09D-09A51DB43FC2}"/>
    <cellStyle name="20% - Accent3 4 5 2 3" xfId="12547" xr:uid="{EA21FB39-AA05-4D33-908A-D6A0F15DAA3B}"/>
    <cellStyle name="20% - Accent3 4 5 3" xfId="6181" xr:uid="{00000000-0005-0000-0000-0000CA010000}"/>
    <cellStyle name="20% - Accent3 4 5 3 2" xfId="14620" xr:uid="{B7880B61-09D6-4516-8825-0AC6AF7944A7}"/>
    <cellStyle name="20% - Accent3 4 5 4" xfId="10402" xr:uid="{11FC4649-BD04-4683-8D8E-B4EA418E1ADE}"/>
    <cellStyle name="20% - Accent3 4 6" xfId="2287" xr:uid="{00000000-0005-0000-0000-0000CB010000}"/>
    <cellStyle name="20% - Accent3 4 6 2" xfId="6594" xr:uid="{00000000-0005-0000-0000-0000CC010000}"/>
    <cellStyle name="20% - Accent3 4 6 2 2" xfId="15033" xr:uid="{184D9373-7455-479C-B036-7062D43806D7}"/>
    <cellStyle name="20% - Accent3 4 6 3" xfId="10815" xr:uid="{786C0EFA-97AF-4568-B46F-CDBAE1E0DC45}"/>
    <cellStyle name="20% - Accent3 4 7" xfId="4528" xr:uid="{00000000-0005-0000-0000-0000CD010000}"/>
    <cellStyle name="20% - Accent3 4 7 2" xfId="12967" xr:uid="{8DA60FC3-6DED-4A72-9D96-B0423E030B19}"/>
    <cellStyle name="20% - Accent3 4 8" xfId="8749" xr:uid="{A3293253-32A8-4342-84EF-2CABBD431DF3}"/>
    <cellStyle name="20% - Accent3 5" xfId="586" xr:uid="{00000000-0005-0000-0000-0000CE010000}"/>
    <cellStyle name="20% - Accent3 5 2" xfId="2857" xr:uid="{00000000-0005-0000-0000-0000CF010000}"/>
    <cellStyle name="20% - Accent3 5 2 2" xfId="7080" xr:uid="{00000000-0005-0000-0000-0000D0010000}"/>
    <cellStyle name="20% - Accent3 5 2 2 2" xfId="15519" xr:uid="{2EEE12ED-39C6-4A36-B2B6-7B553884C7B4}"/>
    <cellStyle name="20% - Accent3 5 2 3" xfId="11301" xr:uid="{F4458E3C-17CB-4038-9E92-EDEEFA038D20}"/>
    <cellStyle name="20% - Accent3 5 3" xfId="4935" xr:uid="{00000000-0005-0000-0000-0000D1010000}"/>
    <cellStyle name="20% - Accent3 5 3 2" xfId="13374" xr:uid="{37E04301-E873-44D3-A519-5A62B4C1E620}"/>
    <cellStyle name="20% - Accent3 5 4" xfId="9156" xr:uid="{63188447-462E-406F-96D9-A8FFE417CDBB}"/>
    <cellStyle name="20% - Accent3 6" xfId="1039" xr:uid="{00000000-0005-0000-0000-0000D2010000}"/>
    <cellStyle name="20% - Accent3 6 2" xfId="3270" xr:uid="{00000000-0005-0000-0000-0000D3010000}"/>
    <cellStyle name="20% - Accent3 6 2 2" xfId="7493" xr:uid="{00000000-0005-0000-0000-0000D4010000}"/>
    <cellStyle name="20% - Accent3 6 2 2 2" xfId="15932" xr:uid="{6554093E-8ADA-4C28-AD5F-56551783BB56}"/>
    <cellStyle name="20% - Accent3 6 2 3" xfId="11714" xr:uid="{6602102A-C040-4986-BE7A-6BD7EE7B5EFF}"/>
    <cellStyle name="20% - Accent3 6 3" xfId="5348" xr:uid="{00000000-0005-0000-0000-0000D5010000}"/>
    <cellStyle name="20% - Accent3 6 3 2" xfId="13787" xr:uid="{DDE9E12B-165B-4F83-A63E-62A4A2AA6AE9}"/>
    <cellStyle name="20% - Accent3 6 4" xfId="9569" xr:uid="{D93C690A-E20A-41E5-B242-30B74927489F}"/>
    <cellStyle name="20% - Accent3 7" xfId="1453" xr:uid="{00000000-0005-0000-0000-0000D6010000}"/>
    <cellStyle name="20% - Accent3 7 2" xfId="3683" xr:uid="{00000000-0005-0000-0000-0000D7010000}"/>
    <cellStyle name="20% - Accent3 7 2 2" xfId="7906" xr:uid="{00000000-0005-0000-0000-0000D8010000}"/>
    <cellStyle name="20% - Accent3 7 2 2 2" xfId="16345" xr:uid="{03332A06-8F48-4DF5-8EFC-C86719F245DC}"/>
    <cellStyle name="20% - Accent3 7 2 3" xfId="12127" xr:uid="{82157254-7A91-4BF3-87FD-0C960D631796}"/>
    <cellStyle name="20% - Accent3 7 3" xfId="5761" xr:uid="{00000000-0005-0000-0000-0000D9010000}"/>
    <cellStyle name="20% - Accent3 7 3 2" xfId="14200" xr:uid="{7AAECF85-C67A-438B-974F-D55A159DAB15}"/>
    <cellStyle name="20% - Accent3 7 4" xfId="9982" xr:uid="{F89B29D9-1277-4B1F-BC73-90A8C3B13546}"/>
    <cellStyle name="20% - Accent3 8" xfId="1867" xr:uid="{00000000-0005-0000-0000-0000DA010000}"/>
    <cellStyle name="20% - Accent3 8 2" xfId="4096" xr:uid="{00000000-0005-0000-0000-0000DB010000}"/>
    <cellStyle name="20% - Accent3 8 2 2" xfId="8319" xr:uid="{00000000-0005-0000-0000-0000DC010000}"/>
    <cellStyle name="20% - Accent3 8 2 2 2" xfId="16758" xr:uid="{71827ADA-E915-42FA-A926-22FB727042FB}"/>
    <cellStyle name="20% - Accent3 8 2 3" xfId="12540" xr:uid="{E1BFEB21-74E7-475E-873A-6915D27DC290}"/>
    <cellStyle name="20% - Accent3 8 3" xfId="6174" xr:uid="{00000000-0005-0000-0000-0000DD010000}"/>
    <cellStyle name="20% - Accent3 8 3 2" xfId="14613" xr:uid="{E26C6F6A-598F-42C4-B0C4-975F2912899C}"/>
    <cellStyle name="20% - Accent3 8 4" xfId="10395" xr:uid="{5771B640-5083-4FB1-8178-51DEC7AB9EB2}"/>
    <cellStyle name="20% - Accent3 9" xfId="2280" xr:uid="{00000000-0005-0000-0000-0000DE010000}"/>
    <cellStyle name="20% - Accent3 9 2" xfId="6587" xr:uid="{00000000-0005-0000-0000-0000DF010000}"/>
    <cellStyle name="20% - Accent3 9 2 2" xfId="15026" xr:uid="{9B68685C-7264-44B4-9740-3459A1201DAC}"/>
    <cellStyle name="20% - Accent3 9 3" xfId="10808" xr:uid="{FF83F882-4B03-4490-A776-53B5558E455B}"/>
    <cellStyle name="20% - Accent4" xfId="25" builtinId="42" customBuiltin="1"/>
    <cellStyle name="20% - Accent4 10" xfId="4529" xr:uid="{00000000-0005-0000-0000-0000E1010000}"/>
    <cellStyle name="20% - Accent4 10 2" xfId="12968" xr:uid="{73F204F7-5850-41C3-918F-C1B6E56A5990}"/>
    <cellStyle name="20% - Accent4 11" xfId="8750" xr:uid="{AF8C5416-C165-402E-A0C9-FAB9C0BF5211}"/>
    <cellStyle name="20% - Accent4 2" xfId="26" xr:uid="{00000000-0005-0000-0000-0000E2010000}"/>
    <cellStyle name="20% - Accent4 2 10" xfId="8751" xr:uid="{050EF7E7-1660-47C6-A5F5-F16321CE6666}"/>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5530" xr:uid="{88F07A69-9561-4DBA-827A-1CB94449BD68}"/>
    <cellStyle name="20% - Accent4 2 2 2 2 2 3" xfId="11312" xr:uid="{0438133C-DE1C-4B5D-BB15-FA31ABCA1443}"/>
    <cellStyle name="20% - Accent4 2 2 2 2 3" xfId="4946" xr:uid="{00000000-0005-0000-0000-0000E8010000}"/>
    <cellStyle name="20% - Accent4 2 2 2 2 3 2" xfId="13385" xr:uid="{34AB69C5-6F2F-434B-A811-2E1CAB1FD7B0}"/>
    <cellStyle name="20% - Accent4 2 2 2 2 4" xfId="9167" xr:uid="{13B61910-3603-4063-A29D-C27C209D7718}"/>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15943" xr:uid="{AAF7D0A4-3353-4CAD-B64E-8A2224589D34}"/>
    <cellStyle name="20% - Accent4 2 2 2 3 2 3" xfId="11725" xr:uid="{FB5FB117-2E5E-4840-99E1-827BD276E264}"/>
    <cellStyle name="20% - Accent4 2 2 2 3 3" xfId="5359" xr:uid="{00000000-0005-0000-0000-0000EC010000}"/>
    <cellStyle name="20% - Accent4 2 2 2 3 3 2" xfId="13798" xr:uid="{117B6AE7-0A44-4623-9F79-5498CFBDB334}"/>
    <cellStyle name="20% - Accent4 2 2 2 3 4" xfId="9580" xr:uid="{D05EA412-52F2-47F8-8C0F-11A7042FB34E}"/>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16356" xr:uid="{CA3DD2EF-F806-4D6A-818C-12BF6B799714}"/>
    <cellStyle name="20% - Accent4 2 2 2 4 2 3" xfId="12138" xr:uid="{90BE55B1-A331-4623-8331-BACF16BBC772}"/>
    <cellStyle name="20% - Accent4 2 2 2 4 3" xfId="5772" xr:uid="{00000000-0005-0000-0000-0000F0010000}"/>
    <cellStyle name="20% - Accent4 2 2 2 4 3 2" xfId="14211" xr:uid="{A21206E0-E428-4AEE-BD4F-72575390F9A8}"/>
    <cellStyle name="20% - Accent4 2 2 2 4 4" xfId="9993" xr:uid="{D19C3E84-735B-4FD7-9B49-266593A49E7E}"/>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16769" xr:uid="{FBFEDD15-7179-44D1-B76D-7030F0D53B8C}"/>
    <cellStyle name="20% - Accent4 2 2 2 5 2 3" xfId="12551" xr:uid="{0538E423-EE3A-4D12-B2C5-D7D1FAF043F9}"/>
    <cellStyle name="20% - Accent4 2 2 2 5 3" xfId="6185" xr:uid="{00000000-0005-0000-0000-0000F4010000}"/>
    <cellStyle name="20% - Accent4 2 2 2 5 3 2" xfId="14624" xr:uid="{942BB99E-852A-4200-ADD3-997DA2D4FFC5}"/>
    <cellStyle name="20% - Accent4 2 2 2 5 4" xfId="10406" xr:uid="{91E2DC49-BBF8-4328-8450-B959D05D3304}"/>
    <cellStyle name="20% - Accent4 2 2 2 6" xfId="2291" xr:uid="{00000000-0005-0000-0000-0000F5010000}"/>
    <cellStyle name="20% - Accent4 2 2 2 6 2" xfId="6598" xr:uid="{00000000-0005-0000-0000-0000F6010000}"/>
    <cellStyle name="20% - Accent4 2 2 2 6 2 2" xfId="15037" xr:uid="{1FBC0245-C792-44CB-9C67-EF9584EF028A}"/>
    <cellStyle name="20% - Accent4 2 2 2 6 3" xfId="10819" xr:uid="{9316415F-13B4-4770-B8C6-9E91342BFB09}"/>
    <cellStyle name="20% - Accent4 2 2 2 7" xfId="4532" xr:uid="{00000000-0005-0000-0000-0000F7010000}"/>
    <cellStyle name="20% - Accent4 2 2 2 7 2" xfId="12971" xr:uid="{FF3122A7-CF62-49E6-B8C5-D2D45934C860}"/>
    <cellStyle name="20% - Accent4 2 2 2 8" xfId="8753" xr:uid="{7DBB6462-7FE9-4FE5-82AD-3DC9EE1F3851}"/>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5529" xr:uid="{C9E22722-6145-4416-AB80-5A1321CEAED8}"/>
    <cellStyle name="20% - Accent4 2 2 3 2 3" xfId="11311" xr:uid="{1B35B392-1242-4A42-9BC2-64A0AE5415C2}"/>
    <cellStyle name="20% - Accent4 2 2 3 3" xfId="4945" xr:uid="{00000000-0005-0000-0000-0000FB010000}"/>
    <cellStyle name="20% - Accent4 2 2 3 3 2" xfId="13384" xr:uid="{3D6BD275-6149-4587-9B97-85840FF88873}"/>
    <cellStyle name="20% - Accent4 2 2 3 4" xfId="9166" xr:uid="{D2C204A9-1D90-4C0D-A045-1A2B945507C8}"/>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15942" xr:uid="{03136BA3-FDB8-48A9-932D-7DA01077F131}"/>
    <cellStyle name="20% - Accent4 2 2 4 2 3" xfId="11724" xr:uid="{CC16751C-EBD3-4906-8959-95A97F9988A4}"/>
    <cellStyle name="20% - Accent4 2 2 4 3" xfId="5358" xr:uid="{00000000-0005-0000-0000-0000FF010000}"/>
    <cellStyle name="20% - Accent4 2 2 4 3 2" xfId="13797" xr:uid="{8D23AE3E-D454-431C-B228-175DB345F84A}"/>
    <cellStyle name="20% - Accent4 2 2 4 4" xfId="9579" xr:uid="{112A63D2-D99A-4450-A583-4CAF0DCC1B3B}"/>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16355" xr:uid="{7817EA04-3951-4F67-97E0-6E3D3930E260}"/>
    <cellStyle name="20% - Accent4 2 2 5 2 3" xfId="12137" xr:uid="{10DEC493-7E04-421C-96D7-C29A67123F8D}"/>
    <cellStyle name="20% - Accent4 2 2 5 3" xfId="5771" xr:uid="{00000000-0005-0000-0000-000003020000}"/>
    <cellStyle name="20% - Accent4 2 2 5 3 2" xfId="14210" xr:uid="{FB0EA6FF-5F6D-45C0-882B-4F38681CF113}"/>
    <cellStyle name="20% - Accent4 2 2 5 4" xfId="9992" xr:uid="{FF4B2300-2DE0-44D9-A7F7-CD8B3FAC3384}"/>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16768" xr:uid="{5EBD8C1D-6802-48A5-9DF9-9010F929D94A}"/>
    <cellStyle name="20% - Accent4 2 2 6 2 3" xfId="12550" xr:uid="{7828D301-3BDB-441B-B5D5-989A10676D21}"/>
    <cellStyle name="20% - Accent4 2 2 6 3" xfId="6184" xr:uid="{00000000-0005-0000-0000-000007020000}"/>
    <cellStyle name="20% - Accent4 2 2 6 3 2" xfId="14623" xr:uid="{DAFA7F3B-F400-434A-89A6-BE59839D8C52}"/>
    <cellStyle name="20% - Accent4 2 2 6 4" xfId="10405" xr:uid="{440C58F9-83E3-4DE0-93CA-BD8FAA49E71E}"/>
    <cellStyle name="20% - Accent4 2 2 7" xfId="2290" xr:uid="{00000000-0005-0000-0000-000008020000}"/>
    <cellStyle name="20% - Accent4 2 2 7 2" xfId="6597" xr:uid="{00000000-0005-0000-0000-000009020000}"/>
    <cellStyle name="20% - Accent4 2 2 7 2 2" xfId="15036" xr:uid="{6701294A-6C9F-48B7-9D91-F87732187A0A}"/>
    <cellStyle name="20% - Accent4 2 2 7 3" xfId="10818" xr:uid="{4B7BA6D4-663F-4DF2-A26B-43F1671151AC}"/>
    <cellStyle name="20% - Accent4 2 2 8" xfId="4531" xr:uid="{00000000-0005-0000-0000-00000A020000}"/>
    <cellStyle name="20% - Accent4 2 2 8 2" xfId="12970" xr:uid="{8E693367-5A4B-4B59-BE1B-924411C09328}"/>
    <cellStyle name="20% - Accent4 2 2 9" xfId="8752" xr:uid="{E1261F38-8FE6-4F44-BDBF-9ECBF5910BFE}"/>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5531" xr:uid="{72AC4AAE-674E-4254-A196-09771E6DD03A}"/>
    <cellStyle name="20% - Accent4 2 3 2 2 3" xfId="11313" xr:uid="{B4EDD177-C652-4CEA-B6FA-CD6C6F451F1B}"/>
    <cellStyle name="20% - Accent4 2 3 2 3" xfId="4947" xr:uid="{00000000-0005-0000-0000-00000F020000}"/>
    <cellStyle name="20% - Accent4 2 3 2 3 2" xfId="13386" xr:uid="{80E80378-12EE-4CFF-8EDA-967D27E2130D}"/>
    <cellStyle name="20% - Accent4 2 3 2 4" xfId="9168" xr:uid="{5E2E7CF0-FB62-4D52-A3F9-AAC184A12A84}"/>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15944" xr:uid="{1BC622B8-4405-4E04-ACB0-AC3BDF06DB73}"/>
    <cellStyle name="20% - Accent4 2 3 3 2 3" xfId="11726" xr:uid="{505E4907-C1C2-46B6-8691-3C6E35EA96D0}"/>
    <cellStyle name="20% - Accent4 2 3 3 3" xfId="5360" xr:uid="{00000000-0005-0000-0000-000013020000}"/>
    <cellStyle name="20% - Accent4 2 3 3 3 2" xfId="13799" xr:uid="{2B5269C2-5C22-4CA0-88D0-E0F47712F27D}"/>
    <cellStyle name="20% - Accent4 2 3 3 4" xfId="9581" xr:uid="{1BBDE33B-A29D-4BD6-A3FE-E801E09A6395}"/>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16357" xr:uid="{2D647DF5-483A-4487-9407-2C170568E117}"/>
    <cellStyle name="20% - Accent4 2 3 4 2 3" xfId="12139" xr:uid="{C249AEFC-F6D5-4C7B-85A0-4CB69002DBB6}"/>
    <cellStyle name="20% - Accent4 2 3 4 3" xfId="5773" xr:uid="{00000000-0005-0000-0000-000017020000}"/>
    <cellStyle name="20% - Accent4 2 3 4 3 2" xfId="14212" xr:uid="{B9B19DE6-D0D2-431D-8AFF-714C407A7826}"/>
    <cellStyle name="20% - Accent4 2 3 4 4" xfId="9994" xr:uid="{7EF081A9-49EB-4623-B2B5-01DE8E076D05}"/>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16770" xr:uid="{6A0EDE88-6238-46C2-9A43-E3FD30CF8C09}"/>
    <cellStyle name="20% - Accent4 2 3 5 2 3" xfId="12552" xr:uid="{D65D9435-FEF4-4CCE-B182-CE274BF2FF75}"/>
    <cellStyle name="20% - Accent4 2 3 5 3" xfId="6186" xr:uid="{00000000-0005-0000-0000-00001B020000}"/>
    <cellStyle name="20% - Accent4 2 3 5 3 2" xfId="14625" xr:uid="{5D85197E-E2A7-4890-9616-93D46D099E63}"/>
    <cellStyle name="20% - Accent4 2 3 5 4" xfId="10407" xr:uid="{717B8DDC-58F4-46FA-827E-D2A8139074D7}"/>
    <cellStyle name="20% - Accent4 2 3 6" xfId="2292" xr:uid="{00000000-0005-0000-0000-00001C020000}"/>
    <cellStyle name="20% - Accent4 2 3 6 2" xfId="6599" xr:uid="{00000000-0005-0000-0000-00001D020000}"/>
    <cellStyle name="20% - Accent4 2 3 6 2 2" xfId="15038" xr:uid="{00885CC2-8309-477D-B2AF-00E815BCDE9C}"/>
    <cellStyle name="20% - Accent4 2 3 6 3" xfId="10820" xr:uid="{171A797A-A76E-43C7-A4FD-3F51908FB7D9}"/>
    <cellStyle name="20% - Accent4 2 3 7" xfId="4533" xr:uid="{00000000-0005-0000-0000-00001E020000}"/>
    <cellStyle name="20% - Accent4 2 3 7 2" xfId="12972" xr:uid="{876E8EA8-BEBF-4F26-8588-36E57176CB75}"/>
    <cellStyle name="20% - Accent4 2 3 8" xfId="8754" xr:uid="{B664C4C2-DCBE-4930-8A4B-71B4C54BC13F}"/>
    <cellStyle name="20% - Accent4 2 4" xfId="595" xr:uid="{00000000-0005-0000-0000-00001F020000}"/>
    <cellStyle name="20% - Accent4 2 4 2" xfId="2866" xr:uid="{00000000-0005-0000-0000-000020020000}"/>
    <cellStyle name="20% - Accent4 2 4 2 2" xfId="7089" xr:uid="{00000000-0005-0000-0000-000021020000}"/>
    <cellStyle name="20% - Accent4 2 4 2 2 2" xfId="15528" xr:uid="{A82FA761-1404-40DD-8669-7819ED27C284}"/>
    <cellStyle name="20% - Accent4 2 4 2 3" xfId="11310" xr:uid="{FC72077F-E688-4983-8B8E-E57B0CA9C9D6}"/>
    <cellStyle name="20% - Accent4 2 4 3" xfId="4944" xr:uid="{00000000-0005-0000-0000-000022020000}"/>
    <cellStyle name="20% - Accent4 2 4 3 2" xfId="13383" xr:uid="{8BBB4040-CC1B-43F0-8A14-5E8666FFC1A3}"/>
    <cellStyle name="20% - Accent4 2 4 4" xfId="9165" xr:uid="{C1E19FA1-579F-442C-B9A0-786AB4752836}"/>
    <cellStyle name="20% - Accent4 2 5" xfId="1048" xr:uid="{00000000-0005-0000-0000-000023020000}"/>
    <cellStyle name="20% - Accent4 2 5 2" xfId="3279" xr:uid="{00000000-0005-0000-0000-000024020000}"/>
    <cellStyle name="20% - Accent4 2 5 2 2" xfId="7502" xr:uid="{00000000-0005-0000-0000-000025020000}"/>
    <cellStyle name="20% - Accent4 2 5 2 2 2" xfId="15941" xr:uid="{F15C9F71-E18E-4905-9601-34F836AB4EF1}"/>
    <cellStyle name="20% - Accent4 2 5 2 3" xfId="11723" xr:uid="{6BB65AA9-CA04-47E3-99E9-DD1370D6839E}"/>
    <cellStyle name="20% - Accent4 2 5 3" xfId="5357" xr:uid="{00000000-0005-0000-0000-000026020000}"/>
    <cellStyle name="20% - Accent4 2 5 3 2" xfId="13796" xr:uid="{3C508B92-DBD6-4A89-AA30-7BB632CA3AD0}"/>
    <cellStyle name="20% - Accent4 2 5 4" xfId="9578" xr:uid="{B72A000C-7252-4993-8347-365805A5EAE0}"/>
    <cellStyle name="20% - Accent4 2 6" xfId="1462" xr:uid="{00000000-0005-0000-0000-000027020000}"/>
    <cellStyle name="20% - Accent4 2 6 2" xfId="3692" xr:uid="{00000000-0005-0000-0000-000028020000}"/>
    <cellStyle name="20% - Accent4 2 6 2 2" xfId="7915" xr:uid="{00000000-0005-0000-0000-000029020000}"/>
    <cellStyle name="20% - Accent4 2 6 2 2 2" xfId="16354" xr:uid="{B96E7320-902C-49AB-9909-CA65B4AAB863}"/>
    <cellStyle name="20% - Accent4 2 6 2 3" xfId="12136" xr:uid="{D504089C-E706-4FEE-AC43-7C872F3F46CA}"/>
    <cellStyle name="20% - Accent4 2 6 3" xfId="5770" xr:uid="{00000000-0005-0000-0000-00002A020000}"/>
    <cellStyle name="20% - Accent4 2 6 3 2" xfId="14209" xr:uid="{58A6BC8E-13C4-43F5-8680-FDC8F0C5F316}"/>
    <cellStyle name="20% - Accent4 2 6 4" xfId="9991" xr:uid="{11ACA4E3-31F1-4192-BB0A-26E27025EECC}"/>
    <cellStyle name="20% - Accent4 2 7" xfId="1876" xr:uid="{00000000-0005-0000-0000-00002B020000}"/>
    <cellStyle name="20% - Accent4 2 7 2" xfId="4105" xr:uid="{00000000-0005-0000-0000-00002C020000}"/>
    <cellStyle name="20% - Accent4 2 7 2 2" xfId="8328" xr:uid="{00000000-0005-0000-0000-00002D020000}"/>
    <cellStyle name="20% - Accent4 2 7 2 2 2" xfId="16767" xr:uid="{85DBFCA2-91B1-4445-A348-8478B92244B9}"/>
    <cellStyle name="20% - Accent4 2 7 2 3" xfId="12549" xr:uid="{E3A6EB66-3F4A-4184-908B-ED7A956F3133}"/>
    <cellStyle name="20% - Accent4 2 7 3" xfId="6183" xr:uid="{00000000-0005-0000-0000-00002E020000}"/>
    <cellStyle name="20% - Accent4 2 7 3 2" xfId="14622" xr:uid="{4DD0D77E-C9EB-4FE4-BC84-7DF3CA15450C}"/>
    <cellStyle name="20% - Accent4 2 7 4" xfId="10404" xr:uid="{89E24B44-D688-4D09-AA73-42F569B69A96}"/>
    <cellStyle name="20% - Accent4 2 8" xfId="2289" xr:uid="{00000000-0005-0000-0000-00002F020000}"/>
    <cellStyle name="20% - Accent4 2 8 2" xfId="6596" xr:uid="{00000000-0005-0000-0000-000030020000}"/>
    <cellStyle name="20% - Accent4 2 8 2 2" xfId="15035" xr:uid="{23B1AF04-6A85-49D3-A9EB-8CBF878AC530}"/>
    <cellStyle name="20% - Accent4 2 8 3" xfId="10817" xr:uid="{B0ED9E88-6A05-4640-9E5D-6DFA9F738F63}"/>
    <cellStyle name="20% - Accent4 2 9" xfId="4530" xr:uid="{00000000-0005-0000-0000-000031020000}"/>
    <cellStyle name="20% - Accent4 2 9 2" xfId="12969" xr:uid="{486B216D-2636-4D7C-A02C-85EF9BD98591}"/>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5533" xr:uid="{B700A0A7-39C6-476A-BBA9-F285085E8884}"/>
    <cellStyle name="20% - Accent4 3 2 2 2 3" xfId="11315" xr:uid="{9074E8BF-FB1A-459F-824F-4F955413756E}"/>
    <cellStyle name="20% - Accent4 3 2 2 3" xfId="4949" xr:uid="{00000000-0005-0000-0000-000037020000}"/>
    <cellStyle name="20% - Accent4 3 2 2 3 2" xfId="13388" xr:uid="{4CBEFEE4-1444-4FF8-9444-F5719BB4C27C}"/>
    <cellStyle name="20% - Accent4 3 2 2 4" xfId="9170" xr:uid="{1A5892AC-7586-481A-8C57-1640BCD09599}"/>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15946" xr:uid="{FFB780AC-FDDF-4DC0-8377-29D1D988CE67}"/>
    <cellStyle name="20% - Accent4 3 2 3 2 3" xfId="11728" xr:uid="{8A9A69B3-8A2C-4733-BB1F-9F7B26C46437}"/>
    <cellStyle name="20% - Accent4 3 2 3 3" xfId="5362" xr:uid="{00000000-0005-0000-0000-00003B020000}"/>
    <cellStyle name="20% - Accent4 3 2 3 3 2" xfId="13801" xr:uid="{DAE9E9D3-EEFF-4E10-B15A-DB20F2175A85}"/>
    <cellStyle name="20% - Accent4 3 2 3 4" xfId="9583" xr:uid="{1278BB4E-7155-4BA3-972C-C34C1CBD9C43}"/>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16359" xr:uid="{CE1B4D88-DCDA-48E6-BF78-0063EE887F2F}"/>
    <cellStyle name="20% - Accent4 3 2 4 2 3" xfId="12141" xr:uid="{531565DC-228D-45A4-9001-8F76151852AE}"/>
    <cellStyle name="20% - Accent4 3 2 4 3" xfId="5775" xr:uid="{00000000-0005-0000-0000-00003F020000}"/>
    <cellStyle name="20% - Accent4 3 2 4 3 2" xfId="14214" xr:uid="{7E556319-999B-4028-827D-DEFD34EAEAF2}"/>
    <cellStyle name="20% - Accent4 3 2 4 4" xfId="9996" xr:uid="{206CD85D-795A-4CB5-8ADA-CCFBB96D4DED}"/>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16772" xr:uid="{6F86A201-0D9E-46C3-9298-60682755A950}"/>
    <cellStyle name="20% - Accent4 3 2 5 2 3" xfId="12554" xr:uid="{12A8EE3E-1407-4C01-801D-BC0B1EEBD7D6}"/>
    <cellStyle name="20% - Accent4 3 2 5 3" xfId="6188" xr:uid="{00000000-0005-0000-0000-000043020000}"/>
    <cellStyle name="20% - Accent4 3 2 5 3 2" xfId="14627" xr:uid="{7A45B3ED-DCC3-4B05-BBF2-17E05ABB434D}"/>
    <cellStyle name="20% - Accent4 3 2 5 4" xfId="10409" xr:uid="{38761746-FE59-46EA-9BE5-348D768C1FAC}"/>
    <cellStyle name="20% - Accent4 3 2 6" xfId="2294" xr:uid="{00000000-0005-0000-0000-000044020000}"/>
    <cellStyle name="20% - Accent4 3 2 6 2" xfId="6601" xr:uid="{00000000-0005-0000-0000-000045020000}"/>
    <cellStyle name="20% - Accent4 3 2 6 2 2" xfId="15040" xr:uid="{C997D91F-8C43-4469-A5AA-36FE71CD6FA5}"/>
    <cellStyle name="20% - Accent4 3 2 6 3" xfId="10822" xr:uid="{BC7E8B84-13D4-4C78-BC85-A6D0FF843089}"/>
    <cellStyle name="20% - Accent4 3 2 7" xfId="4535" xr:uid="{00000000-0005-0000-0000-000046020000}"/>
    <cellStyle name="20% - Accent4 3 2 7 2" xfId="12974" xr:uid="{D4A8CDA9-025E-4F27-93E2-84B21F966695}"/>
    <cellStyle name="20% - Accent4 3 2 8" xfId="8756" xr:uid="{20F875F0-8E84-4ADD-95AA-0E5D8C5DEBE5}"/>
    <cellStyle name="20% - Accent4 3 3" xfId="599" xr:uid="{00000000-0005-0000-0000-000047020000}"/>
    <cellStyle name="20% - Accent4 3 3 2" xfId="2870" xr:uid="{00000000-0005-0000-0000-000048020000}"/>
    <cellStyle name="20% - Accent4 3 3 2 2" xfId="7093" xr:uid="{00000000-0005-0000-0000-000049020000}"/>
    <cellStyle name="20% - Accent4 3 3 2 2 2" xfId="15532" xr:uid="{6ED36D63-12A9-4051-B7EB-D75FA4BC7CB2}"/>
    <cellStyle name="20% - Accent4 3 3 2 3" xfId="11314" xr:uid="{E4B8710F-D02F-4952-850F-54C068967396}"/>
    <cellStyle name="20% - Accent4 3 3 3" xfId="4948" xr:uid="{00000000-0005-0000-0000-00004A020000}"/>
    <cellStyle name="20% - Accent4 3 3 3 2" xfId="13387" xr:uid="{F7146C69-EEF4-49EE-A2BA-4636FDCA9D65}"/>
    <cellStyle name="20% - Accent4 3 3 4" xfId="9169" xr:uid="{6C9BFB09-1242-4249-A850-F0A4D4EC4CD5}"/>
    <cellStyle name="20% - Accent4 3 4" xfId="1052" xr:uid="{00000000-0005-0000-0000-00004B020000}"/>
    <cellStyle name="20% - Accent4 3 4 2" xfId="3283" xr:uid="{00000000-0005-0000-0000-00004C020000}"/>
    <cellStyle name="20% - Accent4 3 4 2 2" xfId="7506" xr:uid="{00000000-0005-0000-0000-00004D020000}"/>
    <cellStyle name="20% - Accent4 3 4 2 2 2" xfId="15945" xr:uid="{5AD244ED-DD98-4CCD-9CBA-CBECC443E046}"/>
    <cellStyle name="20% - Accent4 3 4 2 3" xfId="11727" xr:uid="{28E332E6-464D-4C4C-83AB-8990FAD05862}"/>
    <cellStyle name="20% - Accent4 3 4 3" xfId="5361" xr:uid="{00000000-0005-0000-0000-00004E020000}"/>
    <cellStyle name="20% - Accent4 3 4 3 2" xfId="13800" xr:uid="{C90376FA-AE7C-438E-8103-2FFE253B0477}"/>
    <cellStyle name="20% - Accent4 3 4 4" xfId="9582" xr:uid="{028F2125-52F0-4D64-9FA5-30A5EE3DEE32}"/>
    <cellStyle name="20% - Accent4 3 5" xfId="1466" xr:uid="{00000000-0005-0000-0000-00004F020000}"/>
    <cellStyle name="20% - Accent4 3 5 2" xfId="3696" xr:uid="{00000000-0005-0000-0000-000050020000}"/>
    <cellStyle name="20% - Accent4 3 5 2 2" xfId="7919" xr:uid="{00000000-0005-0000-0000-000051020000}"/>
    <cellStyle name="20% - Accent4 3 5 2 2 2" xfId="16358" xr:uid="{F088831A-2851-437F-9F41-72D2E02E2AC9}"/>
    <cellStyle name="20% - Accent4 3 5 2 3" xfId="12140" xr:uid="{30AA1DBE-C007-4F9B-8603-60FA886538DA}"/>
    <cellStyle name="20% - Accent4 3 5 3" xfId="5774" xr:uid="{00000000-0005-0000-0000-000052020000}"/>
    <cellStyle name="20% - Accent4 3 5 3 2" xfId="14213" xr:uid="{C3B7E1FF-93E3-405A-A85C-A995A792910E}"/>
    <cellStyle name="20% - Accent4 3 5 4" xfId="9995" xr:uid="{EAD3309A-5694-4C6E-8079-5AA138CCE18F}"/>
    <cellStyle name="20% - Accent4 3 6" xfId="1880" xr:uid="{00000000-0005-0000-0000-000053020000}"/>
    <cellStyle name="20% - Accent4 3 6 2" xfId="4109" xr:uid="{00000000-0005-0000-0000-000054020000}"/>
    <cellStyle name="20% - Accent4 3 6 2 2" xfId="8332" xr:uid="{00000000-0005-0000-0000-000055020000}"/>
    <cellStyle name="20% - Accent4 3 6 2 2 2" xfId="16771" xr:uid="{B6CFFBAF-EAE3-4E31-A007-D9FF97F1ECE9}"/>
    <cellStyle name="20% - Accent4 3 6 2 3" xfId="12553" xr:uid="{25E8B44F-D76E-4EC1-976A-9942EA523B5A}"/>
    <cellStyle name="20% - Accent4 3 6 3" xfId="6187" xr:uid="{00000000-0005-0000-0000-000056020000}"/>
    <cellStyle name="20% - Accent4 3 6 3 2" xfId="14626" xr:uid="{42C22E72-7993-4DA2-9F26-1C83D9090489}"/>
    <cellStyle name="20% - Accent4 3 6 4" xfId="10408" xr:uid="{D704AB7D-1705-4CB6-8F6D-54E5FCAE09D8}"/>
    <cellStyle name="20% - Accent4 3 7" xfId="2293" xr:uid="{00000000-0005-0000-0000-000057020000}"/>
    <cellStyle name="20% - Accent4 3 7 2" xfId="6600" xr:uid="{00000000-0005-0000-0000-000058020000}"/>
    <cellStyle name="20% - Accent4 3 7 2 2" xfId="15039" xr:uid="{E08684FD-9D69-4675-9E23-AEC93B262CDB}"/>
    <cellStyle name="20% - Accent4 3 7 3" xfId="10821" xr:uid="{7F1784C0-F1BD-44B1-AEA8-31F3279079AD}"/>
    <cellStyle name="20% - Accent4 3 8" xfId="4534" xr:uid="{00000000-0005-0000-0000-000059020000}"/>
    <cellStyle name="20% - Accent4 3 8 2" xfId="12973" xr:uid="{DA1239CF-65D0-4BC5-9D6D-AEF5EAC019B8}"/>
    <cellStyle name="20% - Accent4 3 9" xfId="8755" xr:uid="{3532FF08-B3E0-4748-B35E-C76D2C29A195}"/>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15534" xr:uid="{E526E2A0-18AE-4503-BF1E-5016EF24BCE4}"/>
    <cellStyle name="20% - Accent4 4 2 2 3" xfId="11316" xr:uid="{53518029-097F-4682-839D-F0E86C4D66C4}"/>
    <cellStyle name="20% - Accent4 4 2 3" xfId="4950" xr:uid="{00000000-0005-0000-0000-00005E020000}"/>
    <cellStyle name="20% - Accent4 4 2 3 2" xfId="13389" xr:uid="{16B68510-B705-4BFD-B806-8E2C957E752A}"/>
    <cellStyle name="20% - Accent4 4 2 4" xfId="9171" xr:uid="{6E370452-088F-46FA-BD75-D85BBEADE730}"/>
    <cellStyle name="20% - Accent4 4 3" xfId="1054" xr:uid="{00000000-0005-0000-0000-00005F020000}"/>
    <cellStyle name="20% - Accent4 4 3 2" xfId="3285" xr:uid="{00000000-0005-0000-0000-000060020000}"/>
    <cellStyle name="20% - Accent4 4 3 2 2" xfId="7508" xr:uid="{00000000-0005-0000-0000-000061020000}"/>
    <cellStyle name="20% - Accent4 4 3 2 2 2" xfId="15947" xr:uid="{9310D3C4-9C3C-48B4-B8BE-00DC9B6DDF4C}"/>
    <cellStyle name="20% - Accent4 4 3 2 3" xfId="11729" xr:uid="{264CF14E-922A-49AB-B4C5-1DD7464A6AC7}"/>
    <cellStyle name="20% - Accent4 4 3 3" xfId="5363" xr:uid="{00000000-0005-0000-0000-000062020000}"/>
    <cellStyle name="20% - Accent4 4 3 3 2" xfId="13802" xr:uid="{AC08F791-B8E7-439C-878E-A4D876C2B468}"/>
    <cellStyle name="20% - Accent4 4 3 4" xfId="9584" xr:uid="{FB72B8DA-DAA3-4704-AFFA-5FCEB365D514}"/>
    <cellStyle name="20% - Accent4 4 4" xfId="1468" xr:uid="{00000000-0005-0000-0000-000063020000}"/>
    <cellStyle name="20% - Accent4 4 4 2" xfId="3698" xr:uid="{00000000-0005-0000-0000-000064020000}"/>
    <cellStyle name="20% - Accent4 4 4 2 2" xfId="7921" xr:uid="{00000000-0005-0000-0000-000065020000}"/>
    <cellStyle name="20% - Accent4 4 4 2 2 2" xfId="16360" xr:uid="{4A8FCE8A-F520-47B0-82B6-1CFF1C044E1F}"/>
    <cellStyle name="20% - Accent4 4 4 2 3" xfId="12142" xr:uid="{B6FC0D6A-AB2A-4AB8-A753-83DBD8CE1FD5}"/>
    <cellStyle name="20% - Accent4 4 4 3" xfId="5776" xr:uid="{00000000-0005-0000-0000-000066020000}"/>
    <cellStyle name="20% - Accent4 4 4 3 2" xfId="14215" xr:uid="{758C7AB3-EE1A-4DFF-AD9A-F62541C404D0}"/>
    <cellStyle name="20% - Accent4 4 4 4" xfId="9997" xr:uid="{8E920275-2048-4A98-A146-325FD986E08A}"/>
    <cellStyle name="20% - Accent4 4 5" xfId="1882" xr:uid="{00000000-0005-0000-0000-000067020000}"/>
    <cellStyle name="20% - Accent4 4 5 2" xfId="4111" xr:uid="{00000000-0005-0000-0000-000068020000}"/>
    <cellStyle name="20% - Accent4 4 5 2 2" xfId="8334" xr:uid="{00000000-0005-0000-0000-000069020000}"/>
    <cellStyle name="20% - Accent4 4 5 2 2 2" xfId="16773" xr:uid="{A7768CFD-23F8-41D5-A573-0DCEF460A36F}"/>
    <cellStyle name="20% - Accent4 4 5 2 3" xfId="12555" xr:uid="{59283265-378F-4567-A296-2B4C858D5E27}"/>
    <cellStyle name="20% - Accent4 4 5 3" xfId="6189" xr:uid="{00000000-0005-0000-0000-00006A020000}"/>
    <cellStyle name="20% - Accent4 4 5 3 2" xfId="14628" xr:uid="{68A7232F-A05C-42BE-801D-A8A72F84130E}"/>
    <cellStyle name="20% - Accent4 4 5 4" xfId="10410" xr:uid="{DCFCAB5B-ECBE-4985-BF3F-B7D33143AD0A}"/>
    <cellStyle name="20% - Accent4 4 6" xfId="2295" xr:uid="{00000000-0005-0000-0000-00006B020000}"/>
    <cellStyle name="20% - Accent4 4 6 2" xfId="6602" xr:uid="{00000000-0005-0000-0000-00006C020000}"/>
    <cellStyle name="20% - Accent4 4 6 2 2" xfId="15041" xr:uid="{E95E1B7F-6A0B-43C9-8B78-CAC532C1D816}"/>
    <cellStyle name="20% - Accent4 4 6 3" xfId="10823" xr:uid="{87B40877-BF51-4132-83F7-15BEAFF2A301}"/>
    <cellStyle name="20% - Accent4 4 7" xfId="4536" xr:uid="{00000000-0005-0000-0000-00006D020000}"/>
    <cellStyle name="20% - Accent4 4 7 2" xfId="12975" xr:uid="{7A5B637E-D13C-42EC-8EAB-60FFE3035E1E}"/>
    <cellStyle name="20% - Accent4 4 8" xfId="8757" xr:uid="{C4E477D8-2054-4F7E-8CED-A454BDF6A583}"/>
    <cellStyle name="20% - Accent4 5" xfId="594" xr:uid="{00000000-0005-0000-0000-00006E020000}"/>
    <cellStyle name="20% - Accent4 5 2" xfId="2865" xr:uid="{00000000-0005-0000-0000-00006F020000}"/>
    <cellStyle name="20% - Accent4 5 2 2" xfId="7088" xr:uid="{00000000-0005-0000-0000-000070020000}"/>
    <cellStyle name="20% - Accent4 5 2 2 2" xfId="15527" xr:uid="{B3DCCCAC-0BD1-4497-9971-29B3211347C7}"/>
    <cellStyle name="20% - Accent4 5 2 3" xfId="11309" xr:uid="{15E2CBE9-0472-45C8-8A9D-359657522EA2}"/>
    <cellStyle name="20% - Accent4 5 3" xfId="4943" xr:uid="{00000000-0005-0000-0000-000071020000}"/>
    <cellStyle name="20% - Accent4 5 3 2" xfId="13382" xr:uid="{3A3BDF2B-EB88-4CD6-9029-4B243A029176}"/>
    <cellStyle name="20% - Accent4 5 4" xfId="9164" xr:uid="{873FC347-F53B-4CF1-B1DE-43BEDEF1D129}"/>
    <cellStyle name="20% - Accent4 6" xfId="1047" xr:uid="{00000000-0005-0000-0000-000072020000}"/>
    <cellStyle name="20% - Accent4 6 2" xfId="3278" xr:uid="{00000000-0005-0000-0000-000073020000}"/>
    <cellStyle name="20% - Accent4 6 2 2" xfId="7501" xr:uid="{00000000-0005-0000-0000-000074020000}"/>
    <cellStyle name="20% - Accent4 6 2 2 2" xfId="15940" xr:uid="{86BEBE7D-E9CA-4EF9-8857-5B73F0EDFDCA}"/>
    <cellStyle name="20% - Accent4 6 2 3" xfId="11722" xr:uid="{483E6A17-E207-46A9-B292-9E71FA03FDB0}"/>
    <cellStyle name="20% - Accent4 6 3" xfId="5356" xr:uid="{00000000-0005-0000-0000-000075020000}"/>
    <cellStyle name="20% - Accent4 6 3 2" xfId="13795" xr:uid="{01184E91-9BBD-4276-AE59-67C3527314BF}"/>
    <cellStyle name="20% - Accent4 6 4" xfId="9577" xr:uid="{36287DA5-7D98-4FC4-B35D-385CAFD3414B}"/>
    <cellStyle name="20% - Accent4 7" xfId="1461" xr:uid="{00000000-0005-0000-0000-000076020000}"/>
    <cellStyle name="20% - Accent4 7 2" xfId="3691" xr:uid="{00000000-0005-0000-0000-000077020000}"/>
    <cellStyle name="20% - Accent4 7 2 2" xfId="7914" xr:uid="{00000000-0005-0000-0000-000078020000}"/>
    <cellStyle name="20% - Accent4 7 2 2 2" xfId="16353" xr:uid="{3F505D7D-8D44-41AF-9ADA-56EF2BA84212}"/>
    <cellStyle name="20% - Accent4 7 2 3" xfId="12135" xr:uid="{ABF5042D-8C10-44AB-95BB-C99D8B14DF61}"/>
    <cellStyle name="20% - Accent4 7 3" xfId="5769" xr:uid="{00000000-0005-0000-0000-000079020000}"/>
    <cellStyle name="20% - Accent4 7 3 2" xfId="14208" xr:uid="{F4CFDC99-3D81-43B6-B674-52ACB1497362}"/>
    <cellStyle name="20% - Accent4 7 4" xfId="9990" xr:uid="{87553E62-BE09-496C-A3BE-6AEB23F47303}"/>
    <cellStyle name="20% - Accent4 8" xfId="1875" xr:uid="{00000000-0005-0000-0000-00007A020000}"/>
    <cellStyle name="20% - Accent4 8 2" xfId="4104" xr:uid="{00000000-0005-0000-0000-00007B020000}"/>
    <cellStyle name="20% - Accent4 8 2 2" xfId="8327" xr:uid="{00000000-0005-0000-0000-00007C020000}"/>
    <cellStyle name="20% - Accent4 8 2 2 2" xfId="16766" xr:uid="{076BDDC6-B675-49EE-AD6B-5D2560A5035F}"/>
    <cellStyle name="20% - Accent4 8 2 3" xfId="12548" xr:uid="{14F4C685-449E-4D97-B962-52F11D2CD5E4}"/>
    <cellStyle name="20% - Accent4 8 3" xfId="6182" xr:uid="{00000000-0005-0000-0000-00007D020000}"/>
    <cellStyle name="20% - Accent4 8 3 2" xfId="14621" xr:uid="{11080560-56FA-4BC8-9813-75940D0A3881}"/>
    <cellStyle name="20% - Accent4 8 4" xfId="10403" xr:uid="{454E9B4F-A2A8-4E4E-9163-8BC3A698B203}"/>
    <cellStyle name="20% - Accent4 9" xfId="2288" xr:uid="{00000000-0005-0000-0000-00007E020000}"/>
    <cellStyle name="20% - Accent4 9 2" xfId="6595" xr:uid="{00000000-0005-0000-0000-00007F020000}"/>
    <cellStyle name="20% - Accent4 9 2 2" xfId="15034" xr:uid="{E269C9C4-019F-44AA-8397-A4A2E4DF4360}"/>
    <cellStyle name="20% - Accent4 9 3" xfId="10816" xr:uid="{1E4DA88C-922F-47DE-90F1-8EF3EE18A107}"/>
    <cellStyle name="20% - Accent5" xfId="33" builtinId="46" customBuiltin="1"/>
    <cellStyle name="20% - Accent5 10" xfId="4537" xr:uid="{00000000-0005-0000-0000-000081020000}"/>
    <cellStyle name="20% - Accent5 10 2" xfId="12976" xr:uid="{AF5C5E9A-3E0A-4C1E-9A00-9140C389D823}"/>
    <cellStyle name="20% - Accent5 11" xfId="8758" xr:uid="{F19660B1-93E2-49B2-BB07-B27B8C764903}"/>
    <cellStyle name="20% - Accent5 2" xfId="34" xr:uid="{00000000-0005-0000-0000-000082020000}"/>
    <cellStyle name="20% - Accent5 2 10" xfId="8759" xr:uid="{A27C4964-A0DE-47DE-8436-B777FB236E3D}"/>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5538" xr:uid="{823B473E-FF95-492A-8E6F-ED42A17DDE6A}"/>
    <cellStyle name="20% - Accent5 2 2 2 2 2 3" xfId="11320" xr:uid="{E82CD3B7-C918-4925-A9E5-65D6BF1BDE79}"/>
    <cellStyle name="20% - Accent5 2 2 2 2 3" xfId="4954" xr:uid="{00000000-0005-0000-0000-000088020000}"/>
    <cellStyle name="20% - Accent5 2 2 2 2 3 2" xfId="13393" xr:uid="{3E4F8E42-0E90-4EAB-905C-51B0A43E1380}"/>
    <cellStyle name="20% - Accent5 2 2 2 2 4" xfId="9175" xr:uid="{57559653-F685-43D5-866B-C9300B5D5869}"/>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15951" xr:uid="{32D8E2D2-F065-4002-AAFB-E7DBB77831E2}"/>
    <cellStyle name="20% - Accent5 2 2 2 3 2 3" xfId="11733" xr:uid="{7E692E0B-4938-49BA-A782-14E7D9E78608}"/>
    <cellStyle name="20% - Accent5 2 2 2 3 3" xfId="5367" xr:uid="{00000000-0005-0000-0000-00008C020000}"/>
    <cellStyle name="20% - Accent5 2 2 2 3 3 2" xfId="13806" xr:uid="{F8EBAD49-35D0-42BC-87B9-B240A4C0FDE3}"/>
    <cellStyle name="20% - Accent5 2 2 2 3 4" xfId="9588" xr:uid="{ED2DD33B-ACE0-44B4-AA52-BDF10D1B97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16364" xr:uid="{B4A30205-769C-47CE-B218-56E4AC4CE7F2}"/>
    <cellStyle name="20% - Accent5 2 2 2 4 2 3" xfId="12146" xr:uid="{D2153D91-A74C-4BC9-BA69-1DFD49F37C59}"/>
    <cellStyle name="20% - Accent5 2 2 2 4 3" xfId="5780" xr:uid="{00000000-0005-0000-0000-000090020000}"/>
    <cellStyle name="20% - Accent5 2 2 2 4 3 2" xfId="14219" xr:uid="{D71DFBFC-7B62-4DF5-AAAB-EA78EF8ADE5F}"/>
    <cellStyle name="20% - Accent5 2 2 2 4 4" xfId="10001" xr:uid="{89296832-7416-4B51-93E8-CF7A18A62B0E}"/>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16777" xr:uid="{1BF07581-FCC8-45FA-A6B2-8D16365CF090}"/>
    <cellStyle name="20% - Accent5 2 2 2 5 2 3" xfId="12559" xr:uid="{F2FE7FE8-08B7-452F-905C-EC994E59ECF3}"/>
    <cellStyle name="20% - Accent5 2 2 2 5 3" xfId="6193" xr:uid="{00000000-0005-0000-0000-000094020000}"/>
    <cellStyle name="20% - Accent5 2 2 2 5 3 2" xfId="14632" xr:uid="{54D8B9FF-C904-4992-9739-217FD39DEEAF}"/>
    <cellStyle name="20% - Accent5 2 2 2 5 4" xfId="10414" xr:uid="{4FC95F99-914B-43A2-BA2F-BCD5FA253BAE}"/>
    <cellStyle name="20% - Accent5 2 2 2 6" xfId="2299" xr:uid="{00000000-0005-0000-0000-000095020000}"/>
    <cellStyle name="20% - Accent5 2 2 2 6 2" xfId="6606" xr:uid="{00000000-0005-0000-0000-000096020000}"/>
    <cellStyle name="20% - Accent5 2 2 2 6 2 2" xfId="15045" xr:uid="{08FB4047-8E8E-4D9A-9E23-BB103FCBE6FD}"/>
    <cellStyle name="20% - Accent5 2 2 2 6 3" xfId="10827" xr:uid="{C4E7DB2F-609A-4833-9C9F-D2464474EBDF}"/>
    <cellStyle name="20% - Accent5 2 2 2 7" xfId="4540" xr:uid="{00000000-0005-0000-0000-000097020000}"/>
    <cellStyle name="20% - Accent5 2 2 2 7 2" xfId="12979" xr:uid="{EBB3EA15-1250-4B86-86B6-18D12615ED50}"/>
    <cellStyle name="20% - Accent5 2 2 2 8" xfId="8761" xr:uid="{26A56C32-55E0-4C37-9EEC-EEC5A2A8F3E5}"/>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5537" xr:uid="{ACE0A3B0-42C9-4492-846F-B258FE8C4D6B}"/>
    <cellStyle name="20% - Accent5 2 2 3 2 3" xfId="11319" xr:uid="{197C4128-5E23-4369-9EB6-609B49B30B79}"/>
    <cellStyle name="20% - Accent5 2 2 3 3" xfId="4953" xr:uid="{00000000-0005-0000-0000-00009B020000}"/>
    <cellStyle name="20% - Accent5 2 2 3 3 2" xfId="13392" xr:uid="{8DD37DFB-5A03-4B2F-A5F5-DAAC03C5738A}"/>
    <cellStyle name="20% - Accent5 2 2 3 4" xfId="9174" xr:uid="{778345AA-D47E-4443-BA67-4A1E90291B1B}"/>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15950" xr:uid="{E7E3A603-5E1A-47BA-A5C0-1C51648D4AAB}"/>
    <cellStyle name="20% - Accent5 2 2 4 2 3" xfId="11732" xr:uid="{F542A6AE-788F-4EEE-9BAA-51ECB768F4EB}"/>
    <cellStyle name="20% - Accent5 2 2 4 3" xfId="5366" xr:uid="{00000000-0005-0000-0000-00009F020000}"/>
    <cellStyle name="20% - Accent5 2 2 4 3 2" xfId="13805" xr:uid="{80D738CC-7C6E-4B5B-8B5F-7543BD89262D}"/>
    <cellStyle name="20% - Accent5 2 2 4 4" xfId="9587" xr:uid="{8EB3E5AF-C1C4-4B1B-A7E0-4DD10A669A19}"/>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16363" xr:uid="{2F2CDF92-6B24-43CE-ADA5-4C7CA2EFCC24}"/>
    <cellStyle name="20% - Accent5 2 2 5 2 3" xfId="12145" xr:uid="{C874960C-18BE-4A31-93A6-5B7F5EEEBB64}"/>
    <cellStyle name="20% - Accent5 2 2 5 3" xfId="5779" xr:uid="{00000000-0005-0000-0000-0000A3020000}"/>
    <cellStyle name="20% - Accent5 2 2 5 3 2" xfId="14218" xr:uid="{BFA893C8-759C-4892-BA61-82E1307292B0}"/>
    <cellStyle name="20% - Accent5 2 2 5 4" xfId="10000" xr:uid="{9A513AD7-873B-4CF7-8337-DF4C5D601B8F}"/>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16776" xr:uid="{E0B8AD51-0BC1-43BD-812D-DF999E66310F}"/>
    <cellStyle name="20% - Accent5 2 2 6 2 3" xfId="12558" xr:uid="{7C1D95B1-8F68-4C5E-8664-0BF7E5F8FDD8}"/>
    <cellStyle name="20% - Accent5 2 2 6 3" xfId="6192" xr:uid="{00000000-0005-0000-0000-0000A7020000}"/>
    <cellStyle name="20% - Accent5 2 2 6 3 2" xfId="14631" xr:uid="{8EF5426B-4620-4AE5-AD02-E32D1A3D4230}"/>
    <cellStyle name="20% - Accent5 2 2 6 4" xfId="10413" xr:uid="{DBC8DD86-02DC-45A1-BCE2-925CF06BE495}"/>
    <cellStyle name="20% - Accent5 2 2 7" xfId="2298" xr:uid="{00000000-0005-0000-0000-0000A8020000}"/>
    <cellStyle name="20% - Accent5 2 2 7 2" xfId="6605" xr:uid="{00000000-0005-0000-0000-0000A9020000}"/>
    <cellStyle name="20% - Accent5 2 2 7 2 2" xfId="15044" xr:uid="{F51112F4-7D1E-4DEA-8BCC-F3AE54DBC539}"/>
    <cellStyle name="20% - Accent5 2 2 7 3" xfId="10826" xr:uid="{91EC1598-41D3-488F-B736-AAD2B136D563}"/>
    <cellStyle name="20% - Accent5 2 2 8" xfId="4539" xr:uid="{00000000-0005-0000-0000-0000AA020000}"/>
    <cellStyle name="20% - Accent5 2 2 8 2" xfId="12978" xr:uid="{9E44A45F-75FB-4740-A62A-9F0B7D626EE6}"/>
    <cellStyle name="20% - Accent5 2 2 9" xfId="8760" xr:uid="{C02890D8-92AF-43A8-86A0-52B6BF6DE6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5539" xr:uid="{D4036EB9-7514-48CB-9D82-66F2C4F0C66B}"/>
    <cellStyle name="20% - Accent5 2 3 2 2 3" xfId="11321" xr:uid="{2273B022-3B47-406B-A62E-26C243B724B2}"/>
    <cellStyle name="20% - Accent5 2 3 2 3" xfId="4955" xr:uid="{00000000-0005-0000-0000-0000AF020000}"/>
    <cellStyle name="20% - Accent5 2 3 2 3 2" xfId="13394" xr:uid="{48491217-7A53-4DFF-BBA0-9916F6DCA2B2}"/>
    <cellStyle name="20% - Accent5 2 3 2 4" xfId="9176" xr:uid="{62F8379E-90D5-4184-82FB-44BA7BA33A3F}"/>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15952" xr:uid="{3DE3E97F-546C-4C26-B648-C0EC10DCAA86}"/>
    <cellStyle name="20% - Accent5 2 3 3 2 3" xfId="11734" xr:uid="{2E8B80C5-25FC-4672-B43A-80E0EFE24F6D}"/>
    <cellStyle name="20% - Accent5 2 3 3 3" xfId="5368" xr:uid="{00000000-0005-0000-0000-0000B3020000}"/>
    <cellStyle name="20% - Accent5 2 3 3 3 2" xfId="13807" xr:uid="{2F9FADC9-D490-4439-B7EB-353ED1358AFC}"/>
    <cellStyle name="20% - Accent5 2 3 3 4" xfId="9589" xr:uid="{4EE0A02A-C187-49FC-A144-F12DD6E3D5B5}"/>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16365" xr:uid="{A4A942C8-6CD8-476D-BC0E-71C8B0141B5A}"/>
    <cellStyle name="20% - Accent5 2 3 4 2 3" xfId="12147" xr:uid="{DD809844-7DD0-48B9-8A11-CE41B49D0A39}"/>
    <cellStyle name="20% - Accent5 2 3 4 3" xfId="5781" xr:uid="{00000000-0005-0000-0000-0000B7020000}"/>
    <cellStyle name="20% - Accent5 2 3 4 3 2" xfId="14220" xr:uid="{FC0255F5-A3B0-4752-9079-3D1D6C94087A}"/>
    <cellStyle name="20% - Accent5 2 3 4 4" xfId="10002" xr:uid="{BE73B6A9-786A-4D5E-BFA9-CC5EF4871A70}"/>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16778" xr:uid="{51B7CD2D-05A6-4C8C-8E77-40E21B359DC2}"/>
    <cellStyle name="20% - Accent5 2 3 5 2 3" xfId="12560" xr:uid="{FF014221-8BCD-4A68-9030-F7869F8B1F68}"/>
    <cellStyle name="20% - Accent5 2 3 5 3" xfId="6194" xr:uid="{00000000-0005-0000-0000-0000BB020000}"/>
    <cellStyle name="20% - Accent5 2 3 5 3 2" xfId="14633" xr:uid="{42F045DD-1231-49E8-B983-A00536AACA72}"/>
    <cellStyle name="20% - Accent5 2 3 5 4" xfId="10415" xr:uid="{BA33F4D0-7CA1-4417-AE59-9AA7028B6217}"/>
    <cellStyle name="20% - Accent5 2 3 6" xfId="2300" xr:uid="{00000000-0005-0000-0000-0000BC020000}"/>
    <cellStyle name="20% - Accent5 2 3 6 2" xfId="6607" xr:uid="{00000000-0005-0000-0000-0000BD020000}"/>
    <cellStyle name="20% - Accent5 2 3 6 2 2" xfId="15046" xr:uid="{D1DDF934-2365-4CFA-8246-DC1A19F8179A}"/>
    <cellStyle name="20% - Accent5 2 3 6 3" xfId="10828" xr:uid="{0CE745B0-C4F4-407D-8931-1FA47106EB19}"/>
    <cellStyle name="20% - Accent5 2 3 7" xfId="4541" xr:uid="{00000000-0005-0000-0000-0000BE020000}"/>
    <cellStyle name="20% - Accent5 2 3 7 2" xfId="12980" xr:uid="{D1DB23C2-A85F-4DF1-81A2-879FA8F238ED}"/>
    <cellStyle name="20% - Accent5 2 3 8" xfId="8762" xr:uid="{C529059F-5187-4226-910A-0A7494DDD61A}"/>
    <cellStyle name="20% - Accent5 2 4" xfId="603" xr:uid="{00000000-0005-0000-0000-0000BF020000}"/>
    <cellStyle name="20% - Accent5 2 4 2" xfId="2874" xr:uid="{00000000-0005-0000-0000-0000C0020000}"/>
    <cellStyle name="20% - Accent5 2 4 2 2" xfId="7097" xr:uid="{00000000-0005-0000-0000-0000C1020000}"/>
    <cellStyle name="20% - Accent5 2 4 2 2 2" xfId="15536" xr:uid="{EB7715FC-3C6C-49A3-AE04-6ADEC09D969A}"/>
    <cellStyle name="20% - Accent5 2 4 2 3" xfId="11318" xr:uid="{19CDB912-939E-4FD9-9067-DEC24430FD95}"/>
    <cellStyle name="20% - Accent5 2 4 3" xfId="4952" xr:uid="{00000000-0005-0000-0000-0000C2020000}"/>
    <cellStyle name="20% - Accent5 2 4 3 2" xfId="13391" xr:uid="{915D1136-4B82-40F6-A299-02F625DB56C8}"/>
    <cellStyle name="20% - Accent5 2 4 4" xfId="9173" xr:uid="{09B58B7B-619D-48E8-BB32-2B0D97AEB83E}"/>
    <cellStyle name="20% - Accent5 2 5" xfId="1056" xr:uid="{00000000-0005-0000-0000-0000C3020000}"/>
    <cellStyle name="20% - Accent5 2 5 2" xfId="3287" xr:uid="{00000000-0005-0000-0000-0000C4020000}"/>
    <cellStyle name="20% - Accent5 2 5 2 2" xfId="7510" xr:uid="{00000000-0005-0000-0000-0000C5020000}"/>
    <cellStyle name="20% - Accent5 2 5 2 2 2" xfId="15949" xr:uid="{549B13FB-DA67-4815-854C-13A8FEA9E727}"/>
    <cellStyle name="20% - Accent5 2 5 2 3" xfId="11731" xr:uid="{17E8DACD-247A-4FB0-8BC7-D7D6CDCD595A}"/>
    <cellStyle name="20% - Accent5 2 5 3" xfId="5365" xr:uid="{00000000-0005-0000-0000-0000C6020000}"/>
    <cellStyle name="20% - Accent5 2 5 3 2" xfId="13804" xr:uid="{53F21D3C-B795-47D6-ACA8-C9068A5C3B18}"/>
    <cellStyle name="20% - Accent5 2 5 4" xfId="9586" xr:uid="{D0FD389D-3E04-47D9-8BCB-C79D0CB76387}"/>
    <cellStyle name="20% - Accent5 2 6" xfId="1470" xr:uid="{00000000-0005-0000-0000-0000C7020000}"/>
    <cellStyle name="20% - Accent5 2 6 2" xfId="3700" xr:uid="{00000000-0005-0000-0000-0000C8020000}"/>
    <cellStyle name="20% - Accent5 2 6 2 2" xfId="7923" xr:uid="{00000000-0005-0000-0000-0000C9020000}"/>
    <cellStyle name="20% - Accent5 2 6 2 2 2" xfId="16362" xr:uid="{FC9B0CF6-D46B-4F26-9CDA-7E4E6943DC6A}"/>
    <cellStyle name="20% - Accent5 2 6 2 3" xfId="12144" xr:uid="{1BD1C215-0FF5-4B00-BC0F-0AE2A8D47E4C}"/>
    <cellStyle name="20% - Accent5 2 6 3" xfId="5778" xr:uid="{00000000-0005-0000-0000-0000CA020000}"/>
    <cellStyle name="20% - Accent5 2 6 3 2" xfId="14217" xr:uid="{00E56877-F8CC-475F-94F6-68F28956A1DC}"/>
    <cellStyle name="20% - Accent5 2 6 4" xfId="9999" xr:uid="{FA32C397-9C23-431B-8202-EDFC15D434E3}"/>
    <cellStyle name="20% - Accent5 2 7" xfId="1884" xr:uid="{00000000-0005-0000-0000-0000CB020000}"/>
    <cellStyle name="20% - Accent5 2 7 2" xfId="4113" xr:uid="{00000000-0005-0000-0000-0000CC020000}"/>
    <cellStyle name="20% - Accent5 2 7 2 2" xfId="8336" xr:uid="{00000000-0005-0000-0000-0000CD020000}"/>
    <cellStyle name="20% - Accent5 2 7 2 2 2" xfId="16775" xr:uid="{E8BA8EE5-92C4-429B-AAF8-4EE13E50A53E}"/>
    <cellStyle name="20% - Accent5 2 7 2 3" xfId="12557" xr:uid="{ACE46384-CBA0-4CCA-B8CE-0A376173C2FF}"/>
    <cellStyle name="20% - Accent5 2 7 3" xfId="6191" xr:uid="{00000000-0005-0000-0000-0000CE020000}"/>
    <cellStyle name="20% - Accent5 2 7 3 2" xfId="14630" xr:uid="{728E2E7F-8878-445A-B043-1011C200F347}"/>
    <cellStyle name="20% - Accent5 2 7 4" xfId="10412" xr:uid="{9A11E253-6B7A-4C4E-8210-59F30BE5E8E5}"/>
    <cellStyle name="20% - Accent5 2 8" xfId="2297" xr:uid="{00000000-0005-0000-0000-0000CF020000}"/>
    <cellStyle name="20% - Accent5 2 8 2" xfId="6604" xr:uid="{00000000-0005-0000-0000-0000D0020000}"/>
    <cellStyle name="20% - Accent5 2 8 2 2" xfId="15043" xr:uid="{1D08596E-CC52-4858-BFD7-AA8D23C1D71B}"/>
    <cellStyle name="20% - Accent5 2 8 3" xfId="10825" xr:uid="{19202C6D-8979-4188-A237-F8308C5B6849}"/>
    <cellStyle name="20% - Accent5 2 9" xfId="4538" xr:uid="{00000000-0005-0000-0000-0000D1020000}"/>
    <cellStyle name="20% - Accent5 2 9 2" xfId="12977" xr:uid="{DE89DD35-B069-4ED1-989B-EDC07C136239}"/>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5541" xr:uid="{1C8EAF3B-8556-44D6-9067-54FC5CA2B031}"/>
    <cellStyle name="20% - Accent5 3 2 2 2 3" xfId="11323" xr:uid="{A20B47A4-D26B-41F1-AC63-4CC73F8AD80B}"/>
    <cellStyle name="20% - Accent5 3 2 2 3" xfId="4957" xr:uid="{00000000-0005-0000-0000-0000D7020000}"/>
    <cellStyle name="20% - Accent5 3 2 2 3 2" xfId="13396" xr:uid="{ACC4C045-D013-4C5C-9337-129203E98BD2}"/>
    <cellStyle name="20% - Accent5 3 2 2 4" xfId="9178" xr:uid="{A5BA832B-405E-4ACF-8ACB-4F7793A5B608}"/>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15954" xr:uid="{AD488D5A-4A57-4C53-B333-8317657127A4}"/>
    <cellStyle name="20% - Accent5 3 2 3 2 3" xfId="11736" xr:uid="{E3FFB8CE-3C38-4808-B264-520F0133354A}"/>
    <cellStyle name="20% - Accent5 3 2 3 3" xfId="5370" xr:uid="{00000000-0005-0000-0000-0000DB020000}"/>
    <cellStyle name="20% - Accent5 3 2 3 3 2" xfId="13809" xr:uid="{0D8D034D-B25E-45A8-AF93-48C36D1CD3BB}"/>
    <cellStyle name="20% - Accent5 3 2 3 4" xfId="9591" xr:uid="{9EAE6FF1-C78F-4C4B-A02B-5137059E45BE}"/>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16367" xr:uid="{34139026-3CE7-411D-82DF-1EB424126C00}"/>
    <cellStyle name="20% - Accent5 3 2 4 2 3" xfId="12149" xr:uid="{4807C0F7-870B-4CFF-AB15-7B90B05EEB4D}"/>
    <cellStyle name="20% - Accent5 3 2 4 3" xfId="5783" xr:uid="{00000000-0005-0000-0000-0000DF020000}"/>
    <cellStyle name="20% - Accent5 3 2 4 3 2" xfId="14222" xr:uid="{BFC0B9E2-145C-4886-9F7C-87F6010698BA}"/>
    <cellStyle name="20% - Accent5 3 2 4 4" xfId="10004" xr:uid="{9FFB0C25-4DF6-4F47-B066-C7D452FF7BAA}"/>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16780" xr:uid="{72E222D9-F650-4945-8C84-953EB939CD33}"/>
    <cellStyle name="20% - Accent5 3 2 5 2 3" xfId="12562" xr:uid="{234446CC-1048-40DD-9488-9A279D50B9C7}"/>
    <cellStyle name="20% - Accent5 3 2 5 3" xfId="6196" xr:uid="{00000000-0005-0000-0000-0000E3020000}"/>
    <cellStyle name="20% - Accent5 3 2 5 3 2" xfId="14635" xr:uid="{40E1676C-59C1-48CF-97D5-2B7D1FE51FD4}"/>
    <cellStyle name="20% - Accent5 3 2 5 4" xfId="10417" xr:uid="{8E5BFAD2-3875-498C-88A6-40E1FD98EFFE}"/>
    <cellStyle name="20% - Accent5 3 2 6" xfId="2302" xr:uid="{00000000-0005-0000-0000-0000E4020000}"/>
    <cellStyle name="20% - Accent5 3 2 6 2" xfId="6609" xr:uid="{00000000-0005-0000-0000-0000E5020000}"/>
    <cellStyle name="20% - Accent5 3 2 6 2 2" xfId="15048" xr:uid="{056DB398-15E4-47D6-B9F0-6051F5D69EAA}"/>
    <cellStyle name="20% - Accent5 3 2 6 3" xfId="10830" xr:uid="{7BAD8EF0-9B36-49D9-9A2B-7DCAE05F328D}"/>
    <cellStyle name="20% - Accent5 3 2 7" xfId="4543" xr:uid="{00000000-0005-0000-0000-0000E6020000}"/>
    <cellStyle name="20% - Accent5 3 2 7 2" xfId="12982" xr:uid="{0A6FFB42-6F43-4A48-B15D-EC774CD76E6E}"/>
    <cellStyle name="20% - Accent5 3 2 8" xfId="8764" xr:uid="{33A6B1F3-2C31-4487-A4A9-4123FB5B20C3}"/>
    <cellStyle name="20% - Accent5 3 3" xfId="607" xr:uid="{00000000-0005-0000-0000-0000E7020000}"/>
    <cellStyle name="20% - Accent5 3 3 2" xfId="2878" xr:uid="{00000000-0005-0000-0000-0000E8020000}"/>
    <cellStyle name="20% - Accent5 3 3 2 2" xfId="7101" xr:uid="{00000000-0005-0000-0000-0000E9020000}"/>
    <cellStyle name="20% - Accent5 3 3 2 2 2" xfId="15540" xr:uid="{8A22B5D5-BF91-4B99-B39F-EC656DFB5C50}"/>
    <cellStyle name="20% - Accent5 3 3 2 3" xfId="11322" xr:uid="{EB0E841A-8EF5-42C1-ADCB-F4C35D0E5AF2}"/>
    <cellStyle name="20% - Accent5 3 3 3" xfId="4956" xr:uid="{00000000-0005-0000-0000-0000EA020000}"/>
    <cellStyle name="20% - Accent5 3 3 3 2" xfId="13395" xr:uid="{20ED5988-049D-4107-A870-9117B593C752}"/>
    <cellStyle name="20% - Accent5 3 3 4" xfId="9177" xr:uid="{EAE29A20-13B7-4AE7-BCC5-C2A1F0E33897}"/>
    <cellStyle name="20% - Accent5 3 4" xfId="1060" xr:uid="{00000000-0005-0000-0000-0000EB020000}"/>
    <cellStyle name="20% - Accent5 3 4 2" xfId="3291" xr:uid="{00000000-0005-0000-0000-0000EC020000}"/>
    <cellStyle name="20% - Accent5 3 4 2 2" xfId="7514" xr:uid="{00000000-0005-0000-0000-0000ED020000}"/>
    <cellStyle name="20% - Accent5 3 4 2 2 2" xfId="15953" xr:uid="{6713FEF6-0643-405F-B780-7E4B7BF21B39}"/>
    <cellStyle name="20% - Accent5 3 4 2 3" xfId="11735" xr:uid="{910D41D0-F831-466D-A60C-388EE47BB152}"/>
    <cellStyle name="20% - Accent5 3 4 3" xfId="5369" xr:uid="{00000000-0005-0000-0000-0000EE020000}"/>
    <cellStyle name="20% - Accent5 3 4 3 2" xfId="13808" xr:uid="{7D803F24-6C0F-42D8-99EB-50CA1EBA5D12}"/>
    <cellStyle name="20% - Accent5 3 4 4" xfId="9590" xr:uid="{141C8220-7B0F-4B9A-A54F-083D92741162}"/>
    <cellStyle name="20% - Accent5 3 5" xfId="1474" xr:uid="{00000000-0005-0000-0000-0000EF020000}"/>
    <cellStyle name="20% - Accent5 3 5 2" xfId="3704" xr:uid="{00000000-0005-0000-0000-0000F0020000}"/>
    <cellStyle name="20% - Accent5 3 5 2 2" xfId="7927" xr:uid="{00000000-0005-0000-0000-0000F1020000}"/>
    <cellStyle name="20% - Accent5 3 5 2 2 2" xfId="16366" xr:uid="{2D19FFC0-BB16-45BF-A374-D4B602D4D108}"/>
    <cellStyle name="20% - Accent5 3 5 2 3" xfId="12148" xr:uid="{482C7B09-B3C4-41FF-82AB-5435476E255F}"/>
    <cellStyle name="20% - Accent5 3 5 3" xfId="5782" xr:uid="{00000000-0005-0000-0000-0000F2020000}"/>
    <cellStyle name="20% - Accent5 3 5 3 2" xfId="14221" xr:uid="{4D08BA53-E886-490F-A06B-73A8133615DE}"/>
    <cellStyle name="20% - Accent5 3 5 4" xfId="10003" xr:uid="{695619A7-FDA4-4A24-8A09-4AFAFE11B7D7}"/>
    <cellStyle name="20% - Accent5 3 6" xfId="1888" xr:uid="{00000000-0005-0000-0000-0000F3020000}"/>
    <cellStyle name="20% - Accent5 3 6 2" xfId="4117" xr:uid="{00000000-0005-0000-0000-0000F4020000}"/>
    <cellStyle name="20% - Accent5 3 6 2 2" xfId="8340" xr:uid="{00000000-0005-0000-0000-0000F5020000}"/>
    <cellStyle name="20% - Accent5 3 6 2 2 2" xfId="16779" xr:uid="{7FA655BE-99E9-4BDB-B9B3-D5F386C9F09A}"/>
    <cellStyle name="20% - Accent5 3 6 2 3" xfId="12561" xr:uid="{B03E449D-6DE6-4BA1-9A8B-759545CE9ABA}"/>
    <cellStyle name="20% - Accent5 3 6 3" xfId="6195" xr:uid="{00000000-0005-0000-0000-0000F6020000}"/>
    <cellStyle name="20% - Accent5 3 6 3 2" xfId="14634" xr:uid="{C0EBB1C0-DF02-4C0C-8E69-2574C914379E}"/>
    <cellStyle name="20% - Accent5 3 6 4" xfId="10416" xr:uid="{2F02C289-E915-4E56-8DCE-7680D3EB9A2B}"/>
    <cellStyle name="20% - Accent5 3 7" xfId="2301" xr:uid="{00000000-0005-0000-0000-0000F7020000}"/>
    <cellStyle name="20% - Accent5 3 7 2" xfId="6608" xr:uid="{00000000-0005-0000-0000-0000F8020000}"/>
    <cellStyle name="20% - Accent5 3 7 2 2" xfId="15047" xr:uid="{5CB69DB6-A19F-4C69-A334-748AC8E97649}"/>
    <cellStyle name="20% - Accent5 3 7 3" xfId="10829" xr:uid="{2D2F2F44-1594-489E-B353-D7AC679DE9A1}"/>
    <cellStyle name="20% - Accent5 3 8" xfId="4542" xr:uid="{00000000-0005-0000-0000-0000F9020000}"/>
    <cellStyle name="20% - Accent5 3 8 2" xfId="12981" xr:uid="{9F1EAD06-86FB-4B49-BDB0-3277493F3A49}"/>
    <cellStyle name="20% - Accent5 3 9" xfId="8763" xr:uid="{A9E5C534-F310-4E56-9388-F7DC452EC536}"/>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15542" xr:uid="{E9A93233-1C76-4953-A44C-AD4A28185033}"/>
    <cellStyle name="20% - Accent5 4 2 2 3" xfId="11324" xr:uid="{7260201B-BC43-41BA-A68C-9091ACBB3799}"/>
    <cellStyle name="20% - Accent5 4 2 3" xfId="4958" xr:uid="{00000000-0005-0000-0000-0000FE020000}"/>
    <cellStyle name="20% - Accent5 4 2 3 2" xfId="13397" xr:uid="{4D13E86A-AE37-4486-906C-F0FF345B26EA}"/>
    <cellStyle name="20% - Accent5 4 2 4" xfId="9179" xr:uid="{FD3EE96A-2A7C-459A-B74B-55904FD80518}"/>
    <cellStyle name="20% - Accent5 4 3" xfId="1062" xr:uid="{00000000-0005-0000-0000-0000FF020000}"/>
    <cellStyle name="20% - Accent5 4 3 2" xfId="3293" xr:uid="{00000000-0005-0000-0000-000000030000}"/>
    <cellStyle name="20% - Accent5 4 3 2 2" xfId="7516" xr:uid="{00000000-0005-0000-0000-000001030000}"/>
    <cellStyle name="20% - Accent5 4 3 2 2 2" xfId="15955" xr:uid="{2D1D7799-0170-4421-9641-D89B82A5713C}"/>
    <cellStyle name="20% - Accent5 4 3 2 3" xfId="11737" xr:uid="{3C138CEC-36AE-4DEB-B756-C7D05CEEF31D}"/>
    <cellStyle name="20% - Accent5 4 3 3" xfId="5371" xr:uid="{00000000-0005-0000-0000-000002030000}"/>
    <cellStyle name="20% - Accent5 4 3 3 2" xfId="13810" xr:uid="{6E9BA881-5ED6-4A16-AE2D-4B4093502699}"/>
    <cellStyle name="20% - Accent5 4 3 4" xfId="9592" xr:uid="{10413BBA-22F0-4237-9C27-60E4AF6B99A5}"/>
    <cellStyle name="20% - Accent5 4 4" xfId="1476" xr:uid="{00000000-0005-0000-0000-000003030000}"/>
    <cellStyle name="20% - Accent5 4 4 2" xfId="3706" xr:uid="{00000000-0005-0000-0000-000004030000}"/>
    <cellStyle name="20% - Accent5 4 4 2 2" xfId="7929" xr:uid="{00000000-0005-0000-0000-000005030000}"/>
    <cellStyle name="20% - Accent5 4 4 2 2 2" xfId="16368" xr:uid="{3ACD303B-6064-4458-B42D-93DECFC73E03}"/>
    <cellStyle name="20% - Accent5 4 4 2 3" xfId="12150" xr:uid="{CA50C1E5-2477-420E-98BB-001C953E47C2}"/>
    <cellStyle name="20% - Accent5 4 4 3" xfId="5784" xr:uid="{00000000-0005-0000-0000-000006030000}"/>
    <cellStyle name="20% - Accent5 4 4 3 2" xfId="14223" xr:uid="{7BC8954D-378F-49D7-9F4D-F0F7F9BC780F}"/>
    <cellStyle name="20% - Accent5 4 4 4" xfId="10005" xr:uid="{00E69DCE-24C2-497C-B987-B18F5F284959}"/>
    <cellStyle name="20% - Accent5 4 5" xfId="1890" xr:uid="{00000000-0005-0000-0000-000007030000}"/>
    <cellStyle name="20% - Accent5 4 5 2" xfId="4119" xr:uid="{00000000-0005-0000-0000-000008030000}"/>
    <cellStyle name="20% - Accent5 4 5 2 2" xfId="8342" xr:uid="{00000000-0005-0000-0000-000009030000}"/>
    <cellStyle name="20% - Accent5 4 5 2 2 2" xfId="16781" xr:uid="{B5351136-CFAF-4FCD-85C3-A5B0073B1750}"/>
    <cellStyle name="20% - Accent5 4 5 2 3" xfId="12563" xr:uid="{E016AE11-A779-4B5A-B9FC-DD908EC519B4}"/>
    <cellStyle name="20% - Accent5 4 5 3" xfId="6197" xr:uid="{00000000-0005-0000-0000-00000A030000}"/>
    <cellStyle name="20% - Accent5 4 5 3 2" xfId="14636" xr:uid="{9AF15617-E60E-4B1A-A2B8-D6C8157D27FC}"/>
    <cellStyle name="20% - Accent5 4 5 4" xfId="10418" xr:uid="{DA78189E-0123-417E-9160-D2A93C079E2E}"/>
    <cellStyle name="20% - Accent5 4 6" xfId="2303" xr:uid="{00000000-0005-0000-0000-00000B030000}"/>
    <cellStyle name="20% - Accent5 4 6 2" xfId="6610" xr:uid="{00000000-0005-0000-0000-00000C030000}"/>
    <cellStyle name="20% - Accent5 4 6 2 2" xfId="15049" xr:uid="{F969206D-2390-4FB1-B8F7-42C1046A3EF4}"/>
    <cellStyle name="20% - Accent5 4 6 3" xfId="10831" xr:uid="{C15491E7-B462-40ED-9622-7DCDE91C638D}"/>
    <cellStyle name="20% - Accent5 4 7" xfId="4544" xr:uid="{00000000-0005-0000-0000-00000D030000}"/>
    <cellStyle name="20% - Accent5 4 7 2" xfId="12983" xr:uid="{8F8EBBFB-79FA-45AD-ACE4-32104AF214FC}"/>
    <cellStyle name="20% - Accent5 4 8" xfId="8765" xr:uid="{324A5A75-2439-4ADF-86D1-956878F7403D}"/>
    <cellStyle name="20% - Accent5 5" xfId="602" xr:uid="{00000000-0005-0000-0000-00000E030000}"/>
    <cellStyle name="20% - Accent5 5 2" xfId="2873" xr:uid="{00000000-0005-0000-0000-00000F030000}"/>
    <cellStyle name="20% - Accent5 5 2 2" xfId="7096" xr:uid="{00000000-0005-0000-0000-000010030000}"/>
    <cellStyle name="20% - Accent5 5 2 2 2" xfId="15535" xr:uid="{95A77A30-2CFC-4553-BB2E-8CDB5CF3593C}"/>
    <cellStyle name="20% - Accent5 5 2 3" xfId="11317" xr:uid="{8C186F46-A758-4F81-B4D3-AB152243B648}"/>
    <cellStyle name="20% - Accent5 5 3" xfId="4951" xr:uid="{00000000-0005-0000-0000-000011030000}"/>
    <cellStyle name="20% - Accent5 5 3 2" xfId="13390" xr:uid="{5B3BBA3F-D77B-49F0-8523-1C5D6A22EAEC}"/>
    <cellStyle name="20% - Accent5 5 4" xfId="9172" xr:uid="{AF57EF68-4D58-455C-9A87-50D3C35BD7CB}"/>
    <cellStyle name="20% - Accent5 6" xfId="1055" xr:uid="{00000000-0005-0000-0000-000012030000}"/>
    <cellStyle name="20% - Accent5 6 2" xfId="3286" xr:uid="{00000000-0005-0000-0000-000013030000}"/>
    <cellStyle name="20% - Accent5 6 2 2" xfId="7509" xr:uid="{00000000-0005-0000-0000-000014030000}"/>
    <cellStyle name="20% - Accent5 6 2 2 2" xfId="15948" xr:uid="{7C7B7888-AAAD-4872-97F7-5969F6E95EE7}"/>
    <cellStyle name="20% - Accent5 6 2 3" xfId="11730" xr:uid="{EF88EBFF-06E8-4381-8EF2-695933FD78FA}"/>
    <cellStyle name="20% - Accent5 6 3" xfId="5364" xr:uid="{00000000-0005-0000-0000-000015030000}"/>
    <cellStyle name="20% - Accent5 6 3 2" xfId="13803" xr:uid="{D06EEC3B-CCB1-48E7-BC37-0ADD633B68FC}"/>
    <cellStyle name="20% - Accent5 6 4" xfId="9585" xr:uid="{57A18DE6-40BE-4BF3-AB8E-9AAAE4A331F4}"/>
    <cellStyle name="20% - Accent5 7" xfId="1469" xr:uid="{00000000-0005-0000-0000-000016030000}"/>
    <cellStyle name="20% - Accent5 7 2" xfId="3699" xr:uid="{00000000-0005-0000-0000-000017030000}"/>
    <cellStyle name="20% - Accent5 7 2 2" xfId="7922" xr:uid="{00000000-0005-0000-0000-000018030000}"/>
    <cellStyle name="20% - Accent5 7 2 2 2" xfId="16361" xr:uid="{722ABDC4-2B68-4E2C-A87D-A8747E5FBF08}"/>
    <cellStyle name="20% - Accent5 7 2 3" xfId="12143" xr:uid="{7AC440D7-AD0A-4594-9612-6D2A68E80A26}"/>
    <cellStyle name="20% - Accent5 7 3" xfId="5777" xr:uid="{00000000-0005-0000-0000-000019030000}"/>
    <cellStyle name="20% - Accent5 7 3 2" xfId="14216" xr:uid="{97CD4AFC-7EC7-4185-98BC-F38CBC449B37}"/>
    <cellStyle name="20% - Accent5 7 4" xfId="9998" xr:uid="{08E2C443-0CCD-437B-A25F-0845BFF96E74}"/>
    <cellStyle name="20% - Accent5 8" xfId="1883" xr:uid="{00000000-0005-0000-0000-00001A030000}"/>
    <cellStyle name="20% - Accent5 8 2" xfId="4112" xr:uid="{00000000-0005-0000-0000-00001B030000}"/>
    <cellStyle name="20% - Accent5 8 2 2" xfId="8335" xr:uid="{00000000-0005-0000-0000-00001C030000}"/>
    <cellStyle name="20% - Accent5 8 2 2 2" xfId="16774" xr:uid="{F3B6BB0A-5178-472C-926A-0FF278BA336F}"/>
    <cellStyle name="20% - Accent5 8 2 3" xfId="12556" xr:uid="{A35A7305-ED44-4A81-A93D-BA9F6BB9898B}"/>
    <cellStyle name="20% - Accent5 8 3" xfId="6190" xr:uid="{00000000-0005-0000-0000-00001D030000}"/>
    <cellStyle name="20% - Accent5 8 3 2" xfId="14629" xr:uid="{FF9BDCAD-9E36-4ACE-BB10-5C6D73130E8F}"/>
    <cellStyle name="20% - Accent5 8 4" xfId="10411" xr:uid="{C2920155-A9B0-4CB3-A586-BC778DAF058D}"/>
    <cellStyle name="20% - Accent5 9" xfId="2296" xr:uid="{00000000-0005-0000-0000-00001E030000}"/>
    <cellStyle name="20% - Accent5 9 2" xfId="6603" xr:uid="{00000000-0005-0000-0000-00001F030000}"/>
    <cellStyle name="20% - Accent5 9 2 2" xfId="15042" xr:uid="{0DE8AD98-4CCD-4A8E-89C2-45933857B7F8}"/>
    <cellStyle name="20% - Accent5 9 3" xfId="10824" xr:uid="{949FFB62-C704-4EAC-92AC-7A84D92A9F07}"/>
    <cellStyle name="20% - Accent6" xfId="41" builtinId="50" customBuiltin="1"/>
    <cellStyle name="20% - Accent6 10" xfId="4545" xr:uid="{00000000-0005-0000-0000-000021030000}"/>
    <cellStyle name="20% - Accent6 10 2" xfId="12984" xr:uid="{1FA5EE8F-0CA4-4F52-9814-B8EB29AF25BF}"/>
    <cellStyle name="20% - Accent6 11" xfId="8766" xr:uid="{E31A8831-0CBF-477D-9080-74292D9E9D90}"/>
    <cellStyle name="20% - Accent6 2" xfId="42" xr:uid="{00000000-0005-0000-0000-000022030000}"/>
    <cellStyle name="20% - Accent6 2 10" xfId="8767" xr:uid="{FF5F3B16-30CC-40B2-92E6-9C4EBEC4A68A}"/>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5546" xr:uid="{69474FE8-5EE1-4266-8513-E174C4E90E8D}"/>
    <cellStyle name="20% - Accent6 2 2 2 2 2 3" xfId="11328" xr:uid="{44A42C2E-8203-40D6-9BD2-5DA10781C798}"/>
    <cellStyle name="20% - Accent6 2 2 2 2 3" xfId="4962" xr:uid="{00000000-0005-0000-0000-000028030000}"/>
    <cellStyle name="20% - Accent6 2 2 2 2 3 2" xfId="13401" xr:uid="{B67AACA9-2D5E-44A7-8249-97C4921AD184}"/>
    <cellStyle name="20% - Accent6 2 2 2 2 4" xfId="9183" xr:uid="{8104BD06-D2C5-4F66-84C3-08E4673A9135}"/>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15959" xr:uid="{ABA39BEC-5A40-4B01-A45D-362282630C37}"/>
    <cellStyle name="20% - Accent6 2 2 2 3 2 3" xfId="11741" xr:uid="{E9E4F155-8ACA-4346-8C1B-39081456AD75}"/>
    <cellStyle name="20% - Accent6 2 2 2 3 3" xfId="5375" xr:uid="{00000000-0005-0000-0000-00002C030000}"/>
    <cellStyle name="20% - Accent6 2 2 2 3 3 2" xfId="13814" xr:uid="{7554B3F2-A3BC-4F54-85CF-6B4C0867943A}"/>
    <cellStyle name="20% - Accent6 2 2 2 3 4" xfId="9596" xr:uid="{A8ABD346-2FD8-47D6-8D9A-F09A3BD9082A}"/>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16372" xr:uid="{143472E9-ACDA-4BB7-9C72-FAA9623B6D2F}"/>
    <cellStyle name="20% - Accent6 2 2 2 4 2 3" xfId="12154" xr:uid="{7DFD0DCD-265F-4556-9B0D-C9C81147186F}"/>
    <cellStyle name="20% - Accent6 2 2 2 4 3" xfId="5788" xr:uid="{00000000-0005-0000-0000-000030030000}"/>
    <cellStyle name="20% - Accent6 2 2 2 4 3 2" xfId="14227" xr:uid="{273F0A6F-1073-48E4-90FF-FD9B85E3D49A}"/>
    <cellStyle name="20% - Accent6 2 2 2 4 4" xfId="10009" xr:uid="{50BB509B-DD5B-4C21-803D-767C0F869812}"/>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16785" xr:uid="{584BE0C0-D811-4E5F-984D-47190CE3F9E7}"/>
    <cellStyle name="20% - Accent6 2 2 2 5 2 3" xfId="12567" xr:uid="{8C05BCC1-1C88-4703-9E4F-10886D5D7CAF}"/>
    <cellStyle name="20% - Accent6 2 2 2 5 3" xfId="6201" xr:uid="{00000000-0005-0000-0000-000034030000}"/>
    <cellStyle name="20% - Accent6 2 2 2 5 3 2" xfId="14640" xr:uid="{5F312C0D-8ED2-4AD9-A3C3-F41F3F300E40}"/>
    <cellStyle name="20% - Accent6 2 2 2 5 4" xfId="10422" xr:uid="{3553F4C4-B9B2-4DC9-8E42-61B0ECEF4BDA}"/>
    <cellStyle name="20% - Accent6 2 2 2 6" xfId="2307" xr:uid="{00000000-0005-0000-0000-000035030000}"/>
    <cellStyle name="20% - Accent6 2 2 2 6 2" xfId="6614" xr:uid="{00000000-0005-0000-0000-000036030000}"/>
    <cellStyle name="20% - Accent6 2 2 2 6 2 2" xfId="15053" xr:uid="{018E58DF-08D1-49AD-9630-01072B6BE90A}"/>
    <cellStyle name="20% - Accent6 2 2 2 6 3" xfId="10835" xr:uid="{13B7D0D3-998A-4218-854C-798EF4D9C861}"/>
    <cellStyle name="20% - Accent6 2 2 2 7" xfId="4548" xr:uid="{00000000-0005-0000-0000-000037030000}"/>
    <cellStyle name="20% - Accent6 2 2 2 7 2" xfId="12987" xr:uid="{F8AC9445-47CA-4CC0-98F1-CA3FE8584D9F}"/>
    <cellStyle name="20% - Accent6 2 2 2 8" xfId="8769" xr:uid="{8EA980AA-286E-4370-997B-3FC144A3025E}"/>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5545" xr:uid="{9C8C30E5-55CA-44E6-B344-4513BE6E73B4}"/>
    <cellStyle name="20% - Accent6 2 2 3 2 3" xfId="11327" xr:uid="{B324149B-E152-4BA1-A7F4-0930799AA594}"/>
    <cellStyle name="20% - Accent6 2 2 3 3" xfId="4961" xr:uid="{00000000-0005-0000-0000-00003B030000}"/>
    <cellStyle name="20% - Accent6 2 2 3 3 2" xfId="13400" xr:uid="{2BB6C72D-2E79-4FD9-80C4-E885B4FBCF5E}"/>
    <cellStyle name="20% - Accent6 2 2 3 4" xfId="9182" xr:uid="{B6DF6259-E6F1-492E-9B45-5D5408FDED94}"/>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15958" xr:uid="{DA76F2A5-6BCE-45B0-B9D2-29D8FBE3B0A7}"/>
    <cellStyle name="20% - Accent6 2 2 4 2 3" xfId="11740" xr:uid="{137A8C47-AEEF-4F69-9CED-1AF4E146CD74}"/>
    <cellStyle name="20% - Accent6 2 2 4 3" xfId="5374" xr:uid="{00000000-0005-0000-0000-00003F030000}"/>
    <cellStyle name="20% - Accent6 2 2 4 3 2" xfId="13813" xr:uid="{2C0FA900-8D7C-4FB7-8828-27BE23BEC5E2}"/>
    <cellStyle name="20% - Accent6 2 2 4 4" xfId="9595" xr:uid="{11218781-D5F7-4C51-890F-ED66E5BCA166}"/>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16371" xr:uid="{011C41F2-E3A5-4D0C-A564-951B23F0BF33}"/>
    <cellStyle name="20% - Accent6 2 2 5 2 3" xfId="12153" xr:uid="{89FD4E9D-EEAA-45D7-8234-AB0101BC13D7}"/>
    <cellStyle name="20% - Accent6 2 2 5 3" xfId="5787" xr:uid="{00000000-0005-0000-0000-000043030000}"/>
    <cellStyle name="20% - Accent6 2 2 5 3 2" xfId="14226" xr:uid="{22299FF3-B53B-426D-B355-D9D442BF8234}"/>
    <cellStyle name="20% - Accent6 2 2 5 4" xfId="10008" xr:uid="{17C9D0B3-A511-44D5-AD08-29BA24C12E93}"/>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16784" xr:uid="{04A25D9B-D8BE-4E84-9B8B-F53FB1B32ADD}"/>
    <cellStyle name="20% - Accent6 2 2 6 2 3" xfId="12566" xr:uid="{F6AC6417-6A58-4946-99D1-5571628FEA92}"/>
    <cellStyle name="20% - Accent6 2 2 6 3" xfId="6200" xr:uid="{00000000-0005-0000-0000-000047030000}"/>
    <cellStyle name="20% - Accent6 2 2 6 3 2" xfId="14639" xr:uid="{93221777-F94D-4050-8FD3-8C8DDD4B6187}"/>
    <cellStyle name="20% - Accent6 2 2 6 4" xfId="10421" xr:uid="{EAB1C075-F3F7-4927-A8C4-1C082FD7634E}"/>
    <cellStyle name="20% - Accent6 2 2 7" xfId="2306" xr:uid="{00000000-0005-0000-0000-000048030000}"/>
    <cellStyle name="20% - Accent6 2 2 7 2" xfId="6613" xr:uid="{00000000-0005-0000-0000-000049030000}"/>
    <cellStyle name="20% - Accent6 2 2 7 2 2" xfId="15052" xr:uid="{9A7D75AD-3CA1-46D1-B614-97235303669F}"/>
    <cellStyle name="20% - Accent6 2 2 7 3" xfId="10834" xr:uid="{DA928497-D4A0-48B8-ACC9-C9C1EE61F834}"/>
    <cellStyle name="20% - Accent6 2 2 8" xfId="4547" xr:uid="{00000000-0005-0000-0000-00004A030000}"/>
    <cellStyle name="20% - Accent6 2 2 8 2" xfId="12986" xr:uid="{4FEF3ED1-998D-4732-98B6-8D9E7CA3D112}"/>
    <cellStyle name="20% - Accent6 2 2 9" xfId="8768" xr:uid="{A340229C-DEDE-49A1-8292-23E2F3157671}"/>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5547" xr:uid="{29E3341F-6A54-46AD-AE19-E56DF85BBB97}"/>
    <cellStyle name="20% - Accent6 2 3 2 2 3" xfId="11329" xr:uid="{944F08E3-B575-4C82-929D-F5FB92C7AB12}"/>
    <cellStyle name="20% - Accent6 2 3 2 3" xfId="4963" xr:uid="{00000000-0005-0000-0000-00004F030000}"/>
    <cellStyle name="20% - Accent6 2 3 2 3 2" xfId="13402" xr:uid="{BEC415E5-98FE-45FA-B6F5-FD5A61007D08}"/>
    <cellStyle name="20% - Accent6 2 3 2 4" xfId="9184" xr:uid="{9D7B5BD3-FE1B-4A62-BEE9-11A3079D7E46}"/>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15960" xr:uid="{5C2279CD-D755-40D2-BB6A-E188FFE2C791}"/>
    <cellStyle name="20% - Accent6 2 3 3 2 3" xfId="11742" xr:uid="{DEC95C63-F9B8-4012-AF58-733240F2FDD7}"/>
    <cellStyle name="20% - Accent6 2 3 3 3" xfId="5376" xr:uid="{00000000-0005-0000-0000-000053030000}"/>
    <cellStyle name="20% - Accent6 2 3 3 3 2" xfId="13815" xr:uid="{6F0CFC5E-BDC6-4147-ADA7-21CCF72E0AF9}"/>
    <cellStyle name="20% - Accent6 2 3 3 4" xfId="9597" xr:uid="{05346A9A-F5E6-48CD-8AC0-A10F061F043D}"/>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16373" xr:uid="{C2B79795-F3A9-46F4-87E1-526A297C6371}"/>
    <cellStyle name="20% - Accent6 2 3 4 2 3" xfId="12155" xr:uid="{6D7B26BB-0C88-446E-A6EE-6A04D2340D5F}"/>
    <cellStyle name="20% - Accent6 2 3 4 3" xfId="5789" xr:uid="{00000000-0005-0000-0000-000057030000}"/>
    <cellStyle name="20% - Accent6 2 3 4 3 2" xfId="14228" xr:uid="{5BC87F09-7EDC-4E29-8C55-4DF43058934C}"/>
    <cellStyle name="20% - Accent6 2 3 4 4" xfId="10010" xr:uid="{9E451783-310F-48F2-BA9F-4757DB66F1C6}"/>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16786" xr:uid="{2CC56EE3-0BAA-4537-A375-10D001AF4EB3}"/>
    <cellStyle name="20% - Accent6 2 3 5 2 3" xfId="12568" xr:uid="{997BD864-7476-47C9-A75F-FA18AD3AF124}"/>
    <cellStyle name="20% - Accent6 2 3 5 3" xfId="6202" xr:uid="{00000000-0005-0000-0000-00005B030000}"/>
    <cellStyle name="20% - Accent6 2 3 5 3 2" xfId="14641" xr:uid="{2D9D65B7-AB78-4348-8BB0-37BE49E47564}"/>
    <cellStyle name="20% - Accent6 2 3 5 4" xfId="10423" xr:uid="{29FD24D1-7129-4B29-A256-5477B0B482D7}"/>
    <cellStyle name="20% - Accent6 2 3 6" xfId="2308" xr:uid="{00000000-0005-0000-0000-00005C030000}"/>
    <cellStyle name="20% - Accent6 2 3 6 2" xfId="6615" xr:uid="{00000000-0005-0000-0000-00005D030000}"/>
    <cellStyle name="20% - Accent6 2 3 6 2 2" xfId="15054" xr:uid="{227B6B95-2442-41D5-A04F-914C85EE3D1B}"/>
    <cellStyle name="20% - Accent6 2 3 6 3" xfId="10836" xr:uid="{85D9C975-F78F-4510-AAF9-0BCD6CFF616D}"/>
    <cellStyle name="20% - Accent6 2 3 7" xfId="4549" xr:uid="{00000000-0005-0000-0000-00005E030000}"/>
    <cellStyle name="20% - Accent6 2 3 7 2" xfId="12988" xr:uid="{EBEA79CB-88FB-48FC-8C83-113FA600E2C7}"/>
    <cellStyle name="20% - Accent6 2 3 8" xfId="8770" xr:uid="{4FC995FF-C431-4EDE-8153-788D37B62FCD}"/>
    <cellStyle name="20% - Accent6 2 4" xfId="611" xr:uid="{00000000-0005-0000-0000-00005F030000}"/>
    <cellStyle name="20% - Accent6 2 4 2" xfId="2882" xr:uid="{00000000-0005-0000-0000-000060030000}"/>
    <cellStyle name="20% - Accent6 2 4 2 2" xfId="7105" xr:uid="{00000000-0005-0000-0000-000061030000}"/>
    <cellStyle name="20% - Accent6 2 4 2 2 2" xfId="15544" xr:uid="{9D47470C-2173-4671-B515-CEDD1E72AEC2}"/>
    <cellStyle name="20% - Accent6 2 4 2 3" xfId="11326" xr:uid="{C519E112-80FE-49DD-B8EF-15D6DC1A54ED}"/>
    <cellStyle name="20% - Accent6 2 4 3" xfId="4960" xr:uid="{00000000-0005-0000-0000-000062030000}"/>
    <cellStyle name="20% - Accent6 2 4 3 2" xfId="13399" xr:uid="{0289E3C0-23EA-479F-8DD9-9A23A55D010E}"/>
    <cellStyle name="20% - Accent6 2 4 4" xfId="9181" xr:uid="{8685527C-3049-4CEE-9AF8-0760854268F9}"/>
    <cellStyle name="20% - Accent6 2 5" xfId="1064" xr:uid="{00000000-0005-0000-0000-000063030000}"/>
    <cellStyle name="20% - Accent6 2 5 2" xfId="3295" xr:uid="{00000000-0005-0000-0000-000064030000}"/>
    <cellStyle name="20% - Accent6 2 5 2 2" xfId="7518" xr:uid="{00000000-0005-0000-0000-000065030000}"/>
    <cellStyle name="20% - Accent6 2 5 2 2 2" xfId="15957" xr:uid="{A17677E4-B580-41C0-9175-2DC02C9DBE5A}"/>
    <cellStyle name="20% - Accent6 2 5 2 3" xfId="11739" xr:uid="{B0D81218-9384-4B52-A32D-C2D33DED2B25}"/>
    <cellStyle name="20% - Accent6 2 5 3" xfId="5373" xr:uid="{00000000-0005-0000-0000-000066030000}"/>
    <cellStyle name="20% - Accent6 2 5 3 2" xfId="13812" xr:uid="{A137F856-4381-453D-9DE3-FADFD63B2D32}"/>
    <cellStyle name="20% - Accent6 2 5 4" xfId="9594" xr:uid="{1AB582B2-A642-45CB-9A9E-83E1E3A7E9C7}"/>
    <cellStyle name="20% - Accent6 2 6" xfId="1478" xr:uid="{00000000-0005-0000-0000-000067030000}"/>
    <cellStyle name="20% - Accent6 2 6 2" xfId="3708" xr:uid="{00000000-0005-0000-0000-000068030000}"/>
    <cellStyle name="20% - Accent6 2 6 2 2" xfId="7931" xr:uid="{00000000-0005-0000-0000-000069030000}"/>
    <cellStyle name="20% - Accent6 2 6 2 2 2" xfId="16370" xr:uid="{4446BF5F-A9E6-47BE-899A-F0CADC59F6BE}"/>
    <cellStyle name="20% - Accent6 2 6 2 3" xfId="12152" xr:uid="{58CC220E-FCCF-4277-B958-B9491F42C85A}"/>
    <cellStyle name="20% - Accent6 2 6 3" xfId="5786" xr:uid="{00000000-0005-0000-0000-00006A030000}"/>
    <cellStyle name="20% - Accent6 2 6 3 2" xfId="14225" xr:uid="{B1119655-FFB8-4314-AF8A-B8A1BA925AAB}"/>
    <cellStyle name="20% - Accent6 2 6 4" xfId="10007" xr:uid="{E5E86CB9-B282-4908-9399-F3A16C9ACB60}"/>
    <cellStyle name="20% - Accent6 2 7" xfId="1892" xr:uid="{00000000-0005-0000-0000-00006B030000}"/>
    <cellStyle name="20% - Accent6 2 7 2" xfId="4121" xr:uid="{00000000-0005-0000-0000-00006C030000}"/>
    <cellStyle name="20% - Accent6 2 7 2 2" xfId="8344" xr:uid="{00000000-0005-0000-0000-00006D030000}"/>
    <cellStyle name="20% - Accent6 2 7 2 2 2" xfId="16783" xr:uid="{F95CEF75-CA59-42F7-8E40-821CFE0C394C}"/>
    <cellStyle name="20% - Accent6 2 7 2 3" xfId="12565" xr:uid="{369F94C2-199B-422E-8B41-3C6F51CDA271}"/>
    <cellStyle name="20% - Accent6 2 7 3" xfId="6199" xr:uid="{00000000-0005-0000-0000-00006E030000}"/>
    <cellStyle name="20% - Accent6 2 7 3 2" xfId="14638" xr:uid="{68466953-CA78-47D1-B11E-6E988F94F869}"/>
    <cellStyle name="20% - Accent6 2 7 4" xfId="10420" xr:uid="{1495A5C7-7717-45E1-9771-A532C15D0B9C}"/>
    <cellStyle name="20% - Accent6 2 8" xfId="2305" xr:uid="{00000000-0005-0000-0000-00006F030000}"/>
    <cellStyle name="20% - Accent6 2 8 2" xfId="6612" xr:uid="{00000000-0005-0000-0000-000070030000}"/>
    <cellStyle name="20% - Accent6 2 8 2 2" xfId="15051" xr:uid="{214982FD-1204-47D3-A835-F550AB161748}"/>
    <cellStyle name="20% - Accent6 2 8 3" xfId="10833" xr:uid="{684C20B5-53F6-4784-B5E3-B28EC8EDADC9}"/>
    <cellStyle name="20% - Accent6 2 9" xfId="4546" xr:uid="{00000000-0005-0000-0000-000071030000}"/>
    <cellStyle name="20% - Accent6 2 9 2" xfId="12985" xr:uid="{4FE6EC8B-C571-468A-A366-277D0D8D596B}"/>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5549" xr:uid="{A9936310-EF82-4321-98FC-AAC610AC6821}"/>
    <cellStyle name="20% - Accent6 3 2 2 2 3" xfId="11331" xr:uid="{E683E2BE-713F-49BD-B03F-1BD61CF47364}"/>
    <cellStyle name="20% - Accent6 3 2 2 3" xfId="4965" xr:uid="{00000000-0005-0000-0000-000077030000}"/>
    <cellStyle name="20% - Accent6 3 2 2 3 2" xfId="13404" xr:uid="{98B710D3-5390-4CB4-A3A1-A9353539AA8C}"/>
    <cellStyle name="20% - Accent6 3 2 2 4" xfId="9186" xr:uid="{C84F56BC-70A0-471E-B3D6-3850530B1D0E}"/>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15962" xr:uid="{DA87C334-A40F-4A5C-9E12-91A374DEC4A7}"/>
    <cellStyle name="20% - Accent6 3 2 3 2 3" xfId="11744" xr:uid="{ECD3F80C-4BB9-4DBB-9BDF-25F678392C57}"/>
    <cellStyle name="20% - Accent6 3 2 3 3" xfId="5378" xr:uid="{00000000-0005-0000-0000-00007B030000}"/>
    <cellStyle name="20% - Accent6 3 2 3 3 2" xfId="13817" xr:uid="{5BE5C745-48A9-49C1-B313-05F586567CC1}"/>
    <cellStyle name="20% - Accent6 3 2 3 4" xfId="9599" xr:uid="{3AD95262-2C05-495B-9187-F23E1CBB47E0}"/>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16375" xr:uid="{5FBC4EC0-221C-4ABA-B7F9-6A0E5EB1347B}"/>
    <cellStyle name="20% - Accent6 3 2 4 2 3" xfId="12157" xr:uid="{FC7BF0C7-1D4B-4AD1-9CB8-722493F99633}"/>
    <cellStyle name="20% - Accent6 3 2 4 3" xfId="5791" xr:uid="{00000000-0005-0000-0000-00007F030000}"/>
    <cellStyle name="20% - Accent6 3 2 4 3 2" xfId="14230" xr:uid="{E230B424-64CB-4605-A650-61D4095E9E9E}"/>
    <cellStyle name="20% - Accent6 3 2 4 4" xfId="10012" xr:uid="{BB8DC39C-20DD-4E85-A7FD-1632D48D2FC3}"/>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16788" xr:uid="{BC6BB0AB-2E6B-48B9-BC0B-7AEBE00D31CD}"/>
    <cellStyle name="20% - Accent6 3 2 5 2 3" xfId="12570" xr:uid="{5586F272-8059-40BA-A3CF-1B685E436512}"/>
    <cellStyle name="20% - Accent6 3 2 5 3" xfId="6204" xr:uid="{00000000-0005-0000-0000-000083030000}"/>
    <cellStyle name="20% - Accent6 3 2 5 3 2" xfId="14643" xr:uid="{4CF9D0F3-C9E8-4104-86EC-1E3A635BEFFA}"/>
    <cellStyle name="20% - Accent6 3 2 5 4" xfId="10425" xr:uid="{176B4F19-01AB-4E24-B478-2C810E771239}"/>
    <cellStyle name="20% - Accent6 3 2 6" xfId="2310" xr:uid="{00000000-0005-0000-0000-000084030000}"/>
    <cellStyle name="20% - Accent6 3 2 6 2" xfId="6617" xr:uid="{00000000-0005-0000-0000-000085030000}"/>
    <cellStyle name="20% - Accent6 3 2 6 2 2" xfId="15056" xr:uid="{25132B7F-E093-4A9E-B3CE-CDEC7D432DA1}"/>
    <cellStyle name="20% - Accent6 3 2 6 3" xfId="10838" xr:uid="{BEF65425-ED44-4914-AADA-0D891D897FF8}"/>
    <cellStyle name="20% - Accent6 3 2 7" xfId="4551" xr:uid="{00000000-0005-0000-0000-000086030000}"/>
    <cellStyle name="20% - Accent6 3 2 7 2" xfId="12990" xr:uid="{59EF4FDB-098F-4DD2-9469-1D284A305D4C}"/>
    <cellStyle name="20% - Accent6 3 2 8" xfId="8772" xr:uid="{421459E7-2959-40E7-9059-8F3936357533}"/>
    <cellStyle name="20% - Accent6 3 3" xfId="615" xr:uid="{00000000-0005-0000-0000-000087030000}"/>
    <cellStyle name="20% - Accent6 3 3 2" xfId="2886" xr:uid="{00000000-0005-0000-0000-000088030000}"/>
    <cellStyle name="20% - Accent6 3 3 2 2" xfId="7109" xr:uid="{00000000-0005-0000-0000-000089030000}"/>
    <cellStyle name="20% - Accent6 3 3 2 2 2" xfId="15548" xr:uid="{F28052A6-6758-4718-9474-F1A2F22B9DB9}"/>
    <cellStyle name="20% - Accent6 3 3 2 3" xfId="11330" xr:uid="{BF0C8E4D-0C71-4EAB-9C27-9980DA657DF1}"/>
    <cellStyle name="20% - Accent6 3 3 3" xfId="4964" xr:uid="{00000000-0005-0000-0000-00008A030000}"/>
    <cellStyle name="20% - Accent6 3 3 3 2" xfId="13403" xr:uid="{0B0B24B6-A2B6-413D-869F-F6AF2353E90A}"/>
    <cellStyle name="20% - Accent6 3 3 4" xfId="9185" xr:uid="{7E3AC4FC-201A-49F5-A81F-698927493347}"/>
    <cellStyle name="20% - Accent6 3 4" xfId="1068" xr:uid="{00000000-0005-0000-0000-00008B030000}"/>
    <cellStyle name="20% - Accent6 3 4 2" xfId="3299" xr:uid="{00000000-0005-0000-0000-00008C030000}"/>
    <cellStyle name="20% - Accent6 3 4 2 2" xfId="7522" xr:uid="{00000000-0005-0000-0000-00008D030000}"/>
    <cellStyle name="20% - Accent6 3 4 2 2 2" xfId="15961" xr:uid="{634C6D15-FB5F-456F-941D-942ABDB62870}"/>
    <cellStyle name="20% - Accent6 3 4 2 3" xfId="11743" xr:uid="{A5C47AE4-38A5-4D48-AF13-85464938B5D4}"/>
    <cellStyle name="20% - Accent6 3 4 3" xfId="5377" xr:uid="{00000000-0005-0000-0000-00008E030000}"/>
    <cellStyle name="20% - Accent6 3 4 3 2" xfId="13816" xr:uid="{EBDE37E0-949D-4385-862F-0608D43697B6}"/>
    <cellStyle name="20% - Accent6 3 4 4" xfId="9598" xr:uid="{AC45932D-1694-41ED-B30C-3083BD7F3C6D}"/>
    <cellStyle name="20% - Accent6 3 5" xfId="1482" xr:uid="{00000000-0005-0000-0000-00008F030000}"/>
    <cellStyle name="20% - Accent6 3 5 2" xfId="3712" xr:uid="{00000000-0005-0000-0000-000090030000}"/>
    <cellStyle name="20% - Accent6 3 5 2 2" xfId="7935" xr:uid="{00000000-0005-0000-0000-000091030000}"/>
    <cellStyle name="20% - Accent6 3 5 2 2 2" xfId="16374" xr:uid="{6FAC5D36-A6DC-4077-8830-80C748EF9BFC}"/>
    <cellStyle name="20% - Accent6 3 5 2 3" xfId="12156" xr:uid="{D670A028-1FF7-414B-94BA-AA9E907A9D3B}"/>
    <cellStyle name="20% - Accent6 3 5 3" xfId="5790" xr:uid="{00000000-0005-0000-0000-000092030000}"/>
    <cellStyle name="20% - Accent6 3 5 3 2" xfId="14229" xr:uid="{C499946D-2F1D-421F-9106-78708CEF5438}"/>
    <cellStyle name="20% - Accent6 3 5 4" xfId="10011" xr:uid="{B4E7A2E0-D2B9-4ED2-99DF-E4AA1F5B918B}"/>
    <cellStyle name="20% - Accent6 3 6" xfId="1896" xr:uid="{00000000-0005-0000-0000-000093030000}"/>
    <cellStyle name="20% - Accent6 3 6 2" xfId="4125" xr:uid="{00000000-0005-0000-0000-000094030000}"/>
    <cellStyle name="20% - Accent6 3 6 2 2" xfId="8348" xr:uid="{00000000-0005-0000-0000-000095030000}"/>
    <cellStyle name="20% - Accent6 3 6 2 2 2" xfId="16787" xr:uid="{7EE0613E-2F0C-450C-9913-E302D02626E0}"/>
    <cellStyle name="20% - Accent6 3 6 2 3" xfId="12569" xr:uid="{C0889E03-EDE9-4A10-AA55-72EF8D6F8207}"/>
    <cellStyle name="20% - Accent6 3 6 3" xfId="6203" xr:uid="{00000000-0005-0000-0000-000096030000}"/>
    <cellStyle name="20% - Accent6 3 6 3 2" xfId="14642" xr:uid="{14CBAD6D-1D0C-4204-BB84-2C68BD5EBED0}"/>
    <cellStyle name="20% - Accent6 3 6 4" xfId="10424" xr:uid="{CAD94DFD-62EC-4A53-B24E-531624818BED}"/>
    <cellStyle name="20% - Accent6 3 7" xfId="2309" xr:uid="{00000000-0005-0000-0000-000097030000}"/>
    <cellStyle name="20% - Accent6 3 7 2" xfId="6616" xr:uid="{00000000-0005-0000-0000-000098030000}"/>
    <cellStyle name="20% - Accent6 3 7 2 2" xfId="15055" xr:uid="{1FF611D7-530D-484B-92A2-608C31E54EEB}"/>
    <cellStyle name="20% - Accent6 3 7 3" xfId="10837" xr:uid="{85110D65-8CAD-4AB3-AE1A-916D0ED9221F}"/>
    <cellStyle name="20% - Accent6 3 8" xfId="4550" xr:uid="{00000000-0005-0000-0000-000099030000}"/>
    <cellStyle name="20% - Accent6 3 8 2" xfId="12989" xr:uid="{4598291A-CF95-4E8A-96DC-B73D94798F02}"/>
    <cellStyle name="20% - Accent6 3 9" xfId="8771" xr:uid="{A5A7E8B1-A62C-4F2F-8DE1-41038DF32694}"/>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15550" xr:uid="{EC68A11D-EBAE-4557-AA52-4211E7B597C7}"/>
    <cellStyle name="20% - Accent6 4 2 2 3" xfId="11332" xr:uid="{E72A6D92-92C1-4ED8-88BB-1A46859B2794}"/>
    <cellStyle name="20% - Accent6 4 2 3" xfId="4966" xr:uid="{00000000-0005-0000-0000-00009E030000}"/>
    <cellStyle name="20% - Accent6 4 2 3 2" xfId="13405" xr:uid="{99C199D8-E19C-4A54-8AFC-507700F39100}"/>
    <cellStyle name="20% - Accent6 4 2 4" xfId="9187" xr:uid="{0AD903E6-AC8D-4904-8680-5654CA268C7E}"/>
    <cellStyle name="20% - Accent6 4 3" xfId="1070" xr:uid="{00000000-0005-0000-0000-00009F030000}"/>
    <cellStyle name="20% - Accent6 4 3 2" xfId="3301" xr:uid="{00000000-0005-0000-0000-0000A0030000}"/>
    <cellStyle name="20% - Accent6 4 3 2 2" xfId="7524" xr:uid="{00000000-0005-0000-0000-0000A1030000}"/>
    <cellStyle name="20% - Accent6 4 3 2 2 2" xfId="15963" xr:uid="{E1068127-1DFD-44A0-BE07-61DCB02F7C50}"/>
    <cellStyle name="20% - Accent6 4 3 2 3" xfId="11745" xr:uid="{FA9289DA-167C-455C-8410-612E3E9EFB58}"/>
    <cellStyle name="20% - Accent6 4 3 3" xfId="5379" xr:uid="{00000000-0005-0000-0000-0000A2030000}"/>
    <cellStyle name="20% - Accent6 4 3 3 2" xfId="13818" xr:uid="{799E66F4-68A4-4238-89AC-821FE56C1544}"/>
    <cellStyle name="20% - Accent6 4 3 4" xfId="9600" xr:uid="{A07DED6D-6B54-4C85-A72E-912B80A65A00}"/>
    <cellStyle name="20% - Accent6 4 4" xfId="1484" xr:uid="{00000000-0005-0000-0000-0000A3030000}"/>
    <cellStyle name="20% - Accent6 4 4 2" xfId="3714" xr:uid="{00000000-0005-0000-0000-0000A4030000}"/>
    <cellStyle name="20% - Accent6 4 4 2 2" xfId="7937" xr:uid="{00000000-0005-0000-0000-0000A5030000}"/>
    <cellStyle name="20% - Accent6 4 4 2 2 2" xfId="16376" xr:uid="{40F1933D-B52E-40C3-A829-5A0622B22B9B}"/>
    <cellStyle name="20% - Accent6 4 4 2 3" xfId="12158" xr:uid="{B140902E-FEC2-4354-98D2-7443CFB93881}"/>
    <cellStyle name="20% - Accent6 4 4 3" xfId="5792" xr:uid="{00000000-0005-0000-0000-0000A6030000}"/>
    <cellStyle name="20% - Accent6 4 4 3 2" xfId="14231" xr:uid="{7D32AC0C-22A3-422E-9D2C-1FA9A5268E94}"/>
    <cellStyle name="20% - Accent6 4 4 4" xfId="10013" xr:uid="{80E292B4-5E73-4FD9-8041-02D0BDD2D787}"/>
    <cellStyle name="20% - Accent6 4 5" xfId="1898" xr:uid="{00000000-0005-0000-0000-0000A7030000}"/>
    <cellStyle name="20% - Accent6 4 5 2" xfId="4127" xr:uid="{00000000-0005-0000-0000-0000A8030000}"/>
    <cellStyle name="20% - Accent6 4 5 2 2" xfId="8350" xr:uid="{00000000-0005-0000-0000-0000A9030000}"/>
    <cellStyle name="20% - Accent6 4 5 2 2 2" xfId="16789" xr:uid="{D7D1415F-A94A-45F4-89A4-2F4FA4964002}"/>
    <cellStyle name="20% - Accent6 4 5 2 3" xfId="12571" xr:uid="{8F475745-BC99-41E6-96A4-FC8E5E2D3632}"/>
    <cellStyle name="20% - Accent6 4 5 3" xfId="6205" xr:uid="{00000000-0005-0000-0000-0000AA030000}"/>
    <cellStyle name="20% - Accent6 4 5 3 2" xfId="14644" xr:uid="{B81B0917-1887-405F-BE92-16C064D37EE9}"/>
    <cellStyle name="20% - Accent6 4 5 4" xfId="10426" xr:uid="{8776A43D-EE1A-4D46-9EF7-6208FD3A3A30}"/>
    <cellStyle name="20% - Accent6 4 6" xfId="2311" xr:uid="{00000000-0005-0000-0000-0000AB030000}"/>
    <cellStyle name="20% - Accent6 4 6 2" xfId="6618" xr:uid="{00000000-0005-0000-0000-0000AC030000}"/>
    <cellStyle name="20% - Accent6 4 6 2 2" xfId="15057" xr:uid="{9449DA18-6BA1-489C-9622-D595A81AE778}"/>
    <cellStyle name="20% - Accent6 4 6 3" xfId="10839" xr:uid="{D0826746-F5FE-42C4-962D-C8243EEBCBCF}"/>
    <cellStyle name="20% - Accent6 4 7" xfId="4552" xr:uid="{00000000-0005-0000-0000-0000AD030000}"/>
    <cellStyle name="20% - Accent6 4 7 2" xfId="12991" xr:uid="{3C5289CB-1CA3-441B-A9E1-5075C8DC7536}"/>
    <cellStyle name="20% - Accent6 4 8" xfId="8773" xr:uid="{98A1610F-1B3F-416C-BAF9-05A038BAC467}"/>
    <cellStyle name="20% - Accent6 5" xfId="610" xr:uid="{00000000-0005-0000-0000-0000AE030000}"/>
    <cellStyle name="20% - Accent6 5 2" xfId="2881" xr:uid="{00000000-0005-0000-0000-0000AF030000}"/>
    <cellStyle name="20% - Accent6 5 2 2" xfId="7104" xr:uid="{00000000-0005-0000-0000-0000B0030000}"/>
    <cellStyle name="20% - Accent6 5 2 2 2" xfId="15543" xr:uid="{5F335A5E-7C9D-474D-AE60-7A339F407FAE}"/>
    <cellStyle name="20% - Accent6 5 2 3" xfId="11325" xr:uid="{F12A8FC6-ACBC-411B-9BF8-54905EA728CF}"/>
    <cellStyle name="20% - Accent6 5 3" xfId="4959" xr:uid="{00000000-0005-0000-0000-0000B1030000}"/>
    <cellStyle name="20% - Accent6 5 3 2" xfId="13398" xr:uid="{58A316CD-07AA-4708-9102-F15C52022F30}"/>
    <cellStyle name="20% - Accent6 5 4" xfId="9180" xr:uid="{71DDC372-E07B-4690-B79B-EA4D58412A0E}"/>
    <cellStyle name="20% - Accent6 6" xfId="1063" xr:uid="{00000000-0005-0000-0000-0000B2030000}"/>
    <cellStyle name="20% - Accent6 6 2" xfId="3294" xr:uid="{00000000-0005-0000-0000-0000B3030000}"/>
    <cellStyle name="20% - Accent6 6 2 2" xfId="7517" xr:uid="{00000000-0005-0000-0000-0000B4030000}"/>
    <cellStyle name="20% - Accent6 6 2 2 2" xfId="15956" xr:uid="{4D9BEBBE-75D7-4C3A-AB7F-6751172FECD9}"/>
    <cellStyle name="20% - Accent6 6 2 3" xfId="11738" xr:uid="{65F17947-D38D-49CE-ACBC-8E096EE52D14}"/>
    <cellStyle name="20% - Accent6 6 3" xfId="5372" xr:uid="{00000000-0005-0000-0000-0000B5030000}"/>
    <cellStyle name="20% - Accent6 6 3 2" xfId="13811" xr:uid="{2A905136-9332-483C-9A66-8C2F757D2587}"/>
    <cellStyle name="20% - Accent6 6 4" xfId="9593" xr:uid="{D133A505-26D5-4FFE-AB64-7463CA4C5474}"/>
    <cellStyle name="20% - Accent6 7" xfId="1477" xr:uid="{00000000-0005-0000-0000-0000B6030000}"/>
    <cellStyle name="20% - Accent6 7 2" xfId="3707" xr:uid="{00000000-0005-0000-0000-0000B7030000}"/>
    <cellStyle name="20% - Accent6 7 2 2" xfId="7930" xr:uid="{00000000-0005-0000-0000-0000B8030000}"/>
    <cellStyle name="20% - Accent6 7 2 2 2" xfId="16369" xr:uid="{C35D8285-EEA4-493D-A1D2-B45502B05B78}"/>
    <cellStyle name="20% - Accent6 7 2 3" xfId="12151" xr:uid="{720E255A-7ECA-49D1-AAF9-E31EEA6CD4EA}"/>
    <cellStyle name="20% - Accent6 7 3" xfId="5785" xr:uid="{00000000-0005-0000-0000-0000B9030000}"/>
    <cellStyle name="20% - Accent6 7 3 2" xfId="14224" xr:uid="{5A41F18D-D3E9-4856-B9F2-4868F494D477}"/>
    <cellStyle name="20% - Accent6 7 4" xfId="10006" xr:uid="{A6832195-B4C5-4BA6-B16B-62666B997F63}"/>
    <cellStyle name="20% - Accent6 8" xfId="1891" xr:uid="{00000000-0005-0000-0000-0000BA030000}"/>
    <cellStyle name="20% - Accent6 8 2" xfId="4120" xr:uid="{00000000-0005-0000-0000-0000BB030000}"/>
    <cellStyle name="20% - Accent6 8 2 2" xfId="8343" xr:uid="{00000000-0005-0000-0000-0000BC030000}"/>
    <cellStyle name="20% - Accent6 8 2 2 2" xfId="16782" xr:uid="{31EFC0B8-95CD-4F1C-9246-274CAE39BCF7}"/>
    <cellStyle name="20% - Accent6 8 2 3" xfId="12564" xr:uid="{2EA342A9-8FCB-4E27-A76F-C619F4B39AD5}"/>
    <cellStyle name="20% - Accent6 8 3" xfId="6198" xr:uid="{00000000-0005-0000-0000-0000BD030000}"/>
    <cellStyle name="20% - Accent6 8 3 2" xfId="14637" xr:uid="{79C243D2-53CE-4B75-BBD8-D9C42065AEEC}"/>
    <cellStyle name="20% - Accent6 8 4" xfId="10419" xr:uid="{C8886A85-5287-4735-9797-C0DD1E6A6B18}"/>
    <cellStyle name="20% - Accent6 9" xfId="2304" xr:uid="{00000000-0005-0000-0000-0000BE030000}"/>
    <cellStyle name="20% - Accent6 9 2" xfId="6611" xr:uid="{00000000-0005-0000-0000-0000BF030000}"/>
    <cellStyle name="20% - Accent6 9 2 2" xfId="15050" xr:uid="{E899725B-A44D-4375-B2E3-53A52F98842E}"/>
    <cellStyle name="20% - Accent6 9 3" xfId="10832" xr:uid="{2D0E5C0B-B4C1-4A19-A89C-D352F2F0E515}"/>
    <cellStyle name="40% - Accent1" xfId="49" builtinId="31" customBuiltin="1"/>
    <cellStyle name="40% - Accent1 10" xfId="4553" xr:uid="{00000000-0005-0000-0000-0000C1030000}"/>
    <cellStyle name="40% - Accent1 10 2" xfId="12992" xr:uid="{47DCE477-B8FE-4EB7-B69D-4DD6093F8862}"/>
    <cellStyle name="40% - Accent1 11" xfId="8774" xr:uid="{F3FF4F59-058A-4DE4-AA98-BB8C57AA4FF8}"/>
    <cellStyle name="40% - Accent1 2" xfId="50" xr:uid="{00000000-0005-0000-0000-0000C2030000}"/>
    <cellStyle name="40% - Accent1 2 10" xfId="8775" xr:uid="{1F33CEAB-74A3-46DD-A23E-F388B8A4CB9E}"/>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5554" xr:uid="{A685E993-5FE8-4804-B1B3-B595CF85EAD0}"/>
    <cellStyle name="40% - Accent1 2 2 2 2 2 3" xfId="11336" xr:uid="{D067ABAF-B904-4342-8CF4-58C6BFFE6A91}"/>
    <cellStyle name="40% - Accent1 2 2 2 2 3" xfId="4970" xr:uid="{00000000-0005-0000-0000-0000C8030000}"/>
    <cellStyle name="40% - Accent1 2 2 2 2 3 2" xfId="13409" xr:uid="{1A9A09D6-E4C5-46AA-B28B-AB2A619DABA4}"/>
    <cellStyle name="40% - Accent1 2 2 2 2 4" xfId="9191" xr:uid="{9C9B64E1-CDB4-4D7B-BC3D-EA8F9974D445}"/>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15967" xr:uid="{A774F7C1-4FEC-4BCD-9FD1-75F5030565ED}"/>
    <cellStyle name="40% - Accent1 2 2 2 3 2 3" xfId="11749" xr:uid="{21268BDA-17B1-457E-AB1D-74FBDB0A3619}"/>
    <cellStyle name="40% - Accent1 2 2 2 3 3" xfId="5383" xr:uid="{00000000-0005-0000-0000-0000CC030000}"/>
    <cellStyle name="40% - Accent1 2 2 2 3 3 2" xfId="13822" xr:uid="{DEC87E99-38C9-4131-83D6-53B6DA477288}"/>
    <cellStyle name="40% - Accent1 2 2 2 3 4" xfId="9604" xr:uid="{06DA9DDC-2FFF-4544-A028-C3FEA006A60E}"/>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16380" xr:uid="{F38C4E38-2FE4-43B3-B589-09106B8C3139}"/>
    <cellStyle name="40% - Accent1 2 2 2 4 2 3" xfId="12162" xr:uid="{13C5367C-A87E-4EA1-98F8-1CC68C16B254}"/>
    <cellStyle name="40% - Accent1 2 2 2 4 3" xfId="5796" xr:uid="{00000000-0005-0000-0000-0000D0030000}"/>
    <cellStyle name="40% - Accent1 2 2 2 4 3 2" xfId="14235" xr:uid="{66CEAF8A-339D-4C74-8069-1504B851A4F4}"/>
    <cellStyle name="40% - Accent1 2 2 2 4 4" xfId="10017" xr:uid="{633797ED-3C67-473C-8BD5-A9FA08A5B543}"/>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16793" xr:uid="{DE63DACB-1F85-4935-AFE6-BFB97A42B028}"/>
    <cellStyle name="40% - Accent1 2 2 2 5 2 3" xfId="12575" xr:uid="{88494BDE-91C9-4FC5-9C11-57235B8D3EDE}"/>
    <cellStyle name="40% - Accent1 2 2 2 5 3" xfId="6209" xr:uid="{00000000-0005-0000-0000-0000D4030000}"/>
    <cellStyle name="40% - Accent1 2 2 2 5 3 2" xfId="14648" xr:uid="{870EF79B-8ADA-42C8-9ABF-C97857DB5503}"/>
    <cellStyle name="40% - Accent1 2 2 2 5 4" xfId="10430" xr:uid="{4A09865A-B21D-4EC6-9D05-1CACB347EBB2}"/>
    <cellStyle name="40% - Accent1 2 2 2 6" xfId="2315" xr:uid="{00000000-0005-0000-0000-0000D5030000}"/>
    <cellStyle name="40% - Accent1 2 2 2 6 2" xfId="6622" xr:uid="{00000000-0005-0000-0000-0000D6030000}"/>
    <cellStyle name="40% - Accent1 2 2 2 6 2 2" xfId="15061" xr:uid="{0F45822D-6CAE-460C-94A6-9BAB2637892B}"/>
    <cellStyle name="40% - Accent1 2 2 2 6 3" xfId="10843" xr:uid="{7132A64A-084A-48CD-BE52-E5A2AFE82392}"/>
    <cellStyle name="40% - Accent1 2 2 2 7" xfId="4556" xr:uid="{00000000-0005-0000-0000-0000D7030000}"/>
    <cellStyle name="40% - Accent1 2 2 2 7 2" xfId="12995" xr:uid="{1C7A3A5F-EE02-4673-B905-BEA0F3725C77}"/>
    <cellStyle name="40% - Accent1 2 2 2 8" xfId="8777" xr:uid="{6A8AD92A-20B9-43A1-B902-63FC6A734599}"/>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5553" xr:uid="{DF0E0D9E-C4A3-42B7-A65C-FDE9B3B06B28}"/>
    <cellStyle name="40% - Accent1 2 2 3 2 3" xfId="11335" xr:uid="{A854C5B6-E92D-4A2F-BAF1-68F6772227CF}"/>
    <cellStyle name="40% - Accent1 2 2 3 3" xfId="4969" xr:uid="{00000000-0005-0000-0000-0000DB030000}"/>
    <cellStyle name="40% - Accent1 2 2 3 3 2" xfId="13408" xr:uid="{159C92B5-0525-4258-9456-0429408D26F0}"/>
    <cellStyle name="40% - Accent1 2 2 3 4" xfId="9190" xr:uid="{81CF2EAE-A1CA-4498-A7F0-F47D48FA20AA}"/>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15966" xr:uid="{1CAC93F1-AF4A-4FDA-B6C3-6370F43A16D2}"/>
    <cellStyle name="40% - Accent1 2 2 4 2 3" xfId="11748" xr:uid="{885EBBA6-1C56-429A-B8E1-053CC9654E0C}"/>
    <cellStyle name="40% - Accent1 2 2 4 3" xfId="5382" xr:uid="{00000000-0005-0000-0000-0000DF030000}"/>
    <cellStyle name="40% - Accent1 2 2 4 3 2" xfId="13821" xr:uid="{0F759817-93E4-4345-8904-B21D1D150518}"/>
    <cellStyle name="40% - Accent1 2 2 4 4" xfId="9603" xr:uid="{9D675C80-6929-428E-A312-B18F735A8940}"/>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16379" xr:uid="{6117A2A5-557B-4737-85DE-650D4F0EEF25}"/>
    <cellStyle name="40% - Accent1 2 2 5 2 3" xfId="12161" xr:uid="{DAEF4CC4-D627-49A2-9A5F-8D7A694C77AA}"/>
    <cellStyle name="40% - Accent1 2 2 5 3" xfId="5795" xr:uid="{00000000-0005-0000-0000-0000E3030000}"/>
    <cellStyle name="40% - Accent1 2 2 5 3 2" xfId="14234" xr:uid="{C98497C2-5145-4257-A0C0-043748D5E93A}"/>
    <cellStyle name="40% - Accent1 2 2 5 4" xfId="10016" xr:uid="{0352FBAC-BD4F-45AB-97A5-390B8024F459}"/>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16792" xr:uid="{AB41D941-E9DD-461A-89F5-EF6AC925A92B}"/>
    <cellStyle name="40% - Accent1 2 2 6 2 3" xfId="12574" xr:uid="{C7943E29-CADC-48B7-BE59-53D6E6BB3320}"/>
    <cellStyle name="40% - Accent1 2 2 6 3" xfId="6208" xr:uid="{00000000-0005-0000-0000-0000E7030000}"/>
    <cellStyle name="40% - Accent1 2 2 6 3 2" xfId="14647" xr:uid="{23752BA6-A973-4530-9F08-172C36C17958}"/>
    <cellStyle name="40% - Accent1 2 2 6 4" xfId="10429" xr:uid="{21FA0099-7962-49D4-AF5C-7E774FCEA7A4}"/>
    <cellStyle name="40% - Accent1 2 2 7" xfId="2314" xr:uid="{00000000-0005-0000-0000-0000E8030000}"/>
    <cellStyle name="40% - Accent1 2 2 7 2" xfId="6621" xr:uid="{00000000-0005-0000-0000-0000E9030000}"/>
    <cellStyle name="40% - Accent1 2 2 7 2 2" xfId="15060" xr:uid="{5F3D1421-083D-4941-9F60-AD23F7CB1857}"/>
    <cellStyle name="40% - Accent1 2 2 7 3" xfId="10842" xr:uid="{4D693699-75A6-4DA1-9083-1651E28BAA69}"/>
    <cellStyle name="40% - Accent1 2 2 8" xfId="4555" xr:uid="{00000000-0005-0000-0000-0000EA030000}"/>
    <cellStyle name="40% - Accent1 2 2 8 2" xfId="12994" xr:uid="{1EC83186-FD4C-4574-BA84-9E13D066E519}"/>
    <cellStyle name="40% - Accent1 2 2 9" xfId="8776" xr:uid="{74BBA7B7-DC0F-4CA7-A7F7-517EB1C83D99}"/>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5555" xr:uid="{EF701844-887A-42AE-9554-D8B72CD50D46}"/>
    <cellStyle name="40% - Accent1 2 3 2 2 3" xfId="11337" xr:uid="{CF0E22A0-CF9D-474C-B7A2-AEF27E60F685}"/>
    <cellStyle name="40% - Accent1 2 3 2 3" xfId="4971" xr:uid="{00000000-0005-0000-0000-0000EF030000}"/>
    <cellStyle name="40% - Accent1 2 3 2 3 2" xfId="13410" xr:uid="{D9D3B1F7-0A9C-4F73-B6A9-AE5CCAF6CE9E}"/>
    <cellStyle name="40% - Accent1 2 3 2 4" xfId="9192" xr:uid="{C63AF74A-3BA9-4068-989B-6CA50DAB44DB}"/>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15968" xr:uid="{3D2E861D-7D79-40DA-A0E6-B86E486CCE97}"/>
    <cellStyle name="40% - Accent1 2 3 3 2 3" xfId="11750" xr:uid="{01236552-9AC2-4068-ACAF-ECA4EB4AF48D}"/>
    <cellStyle name="40% - Accent1 2 3 3 3" xfId="5384" xr:uid="{00000000-0005-0000-0000-0000F3030000}"/>
    <cellStyle name="40% - Accent1 2 3 3 3 2" xfId="13823" xr:uid="{EDF16B61-0DBD-4E0F-8183-EFB4A4097BD2}"/>
    <cellStyle name="40% - Accent1 2 3 3 4" xfId="9605" xr:uid="{5D1221B8-0A9B-4502-849C-752D9987645D}"/>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16381" xr:uid="{76E5E3F8-7265-47E6-B382-963480327EBD}"/>
    <cellStyle name="40% - Accent1 2 3 4 2 3" xfId="12163" xr:uid="{DCDA42E4-7807-4CC0-822E-851EDA59374B}"/>
    <cellStyle name="40% - Accent1 2 3 4 3" xfId="5797" xr:uid="{00000000-0005-0000-0000-0000F7030000}"/>
    <cellStyle name="40% - Accent1 2 3 4 3 2" xfId="14236" xr:uid="{FD4AB07E-B5BA-4BBE-8FB3-B53D2106EE62}"/>
    <cellStyle name="40% - Accent1 2 3 4 4" xfId="10018" xr:uid="{948D0008-DA84-4657-93D9-9CBE675684CF}"/>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16794" xr:uid="{F9362857-866B-4E3B-9B68-31C75E33F5FD}"/>
    <cellStyle name="40% - Accent1 2 3 5 2 3" xfId="12576" xr:uid="{60ECB6D2-ADFD-48AA-BB42-8151CFF73539}"/>
    <cellStyle name="40% - Accent1 2 3 5 3" xfId="6210" xr:uid="{00000000-0005-0000-0000-0000FB030000}"/>
    <cellStyle name="40% - Accent1 2 3 5 3 2" xfId="14649" xr:uid="{5B37EB9C-67B0-4106-A686-1F8C68FE284B}"/>
    <cellStyle name="40% - Accent1 2 3 5 4" xfId="10431" xr:uid="{4025E333-4455-427A-9C31-4B5FFF8D9748}"/>
    <cellStyle name="40% - Accent1 2 3 6" xfId="2316" xr:uid="{00000000-0005-0000-0000-0000FC030000}"/>
    <cellStyle name="40% - Accent1 2 3 6 2" xfId="6623" xr:uid="{00000000-0005-0000-0000-0000FD030000}"/>
    <cellStyle name="40% - Accent1 2 3 6 2 2" xfId="15062" xr:uid="{3A695371-8243-4E6A-BDE3-E3F162A1C568}"/>
    <cellStyle name="40% - Accent1 2 3 6 3" xfId="10844" xr:uid="{ADC633F6-01E9-46D7-8852-FB85BA145DAB}"/>
    <cellStyle name="40% - Accent1 2 3 7" xfId="4557" xr:uid="{00000000-0005-0000-0000-0000FE030000}"/>
    <cellStyle name="40% - Accent1 2 3 7 2" xfId="12996" xr:uid="{30DDE369-14FB-4DF3-962B-F8AA0C8C6FB4}"/>
    <cellStyle name="40% - Accent1 2 3 8" xfId="8778" xr:uid="{AA5B493C-30E3-4F0C-8BA8-08929CA6AB96}"/>
    <cellStyle name="40% - Accent1 2 4" xfId="619" xr:uid="{00000000-0005-0000-0000-0000FF030000}"/>
    <cellStyle name="40% - Accent1 2 4 2" xfId="2890" xr:uid="{00000000-0005-0000-0000-000000040000}"/>
    <cellStyle name="40% - Accent1 2 4 2 2" xfId="7113" xr:uid="{00000000-0005-0000-0000-000001040000}"/>
    <cellStyle name="40% - Accent1 2 4 2 2 2" xfId="15552" xr:uid="{8E2A5BAB-57CC-4338-B8E2-66D2421CBBFE}"/>
    <cellStyle name="40% - Accent1 2 4 2 3" xfId="11334" xr:uid="{2E5F5DAB-8E9C-40FB-8737-AD8769F5D072}"/>
    <cellStyle name="40% - Accent1 2 4 3" xfId="4968" xr:uid="{00000000-0005-0000-0000-000002040000}"/>
    <cellStyle name="40% - Accent1 2 4 3 2" xfId="13407" xr:uid="{34E8229E-22CE-45DE-AB9A-8B7FF1E124BA}"/>
    <cellStyle name="40% - Accent1 2 4 4" xfId="9189" xr:uid="{D48FB654-4A2C-4D13-ACF0-9A2CD5BF48CF}"/>
    <cellStyle name="40% - Accent1 2 5" xfId="1072" xr:uid="{00000000-0005-0000-0000-000003040000}"/>
    <cellStyle name="40% - Accent1 2 5 2" xfId="3303" xr:uid="{00000000-0005-0000-0000-000004040000}"/>
    <cellStyle name="40% - Accent1 2 5 2 2" xfId="7526" xr:uid="{00000000-0005-0000-0000-000005040000}"/>
    <cellStyle name="40% - Accent1 2 5 2 2 2" xfId="15965" xr:uid="{7A9BB586-1457-4393-BCDD-54F79FD2D598}"/>
    <cellStyle name="40% - Accent1 2 5 2 3" xfId="11747" xr:uid="{A16E53C7-2E68-4326-A4E7-EFE3507EB08F}"/>
    <cellStyle name="40% - Accent1 2 5 3" xfId="5381" xr:uid="{00000000-0005-0000-0000-000006040000}"/>
    <cellStyle name="40% - Accent1 2 5 3 2" xfId="13820" xr:uid="{F42C349B-5C7F-49FD-A17F-5F95BC9FDE97}"/>
    <cellStyle name="40% - Accent1 2 5 4" xfId="9602" xr:uid="{42C1C3B8-C069-4140-AA0C-E18B1A872034}"/>
    <cellStyle name="40% - Accent1 2 6" xfId="1486" xr:uid="{00000000-0005-0000-0000-000007040000}"/>
    <cellStyle name="40% - Accent1 2 6 2" xfId="3716" xr:uid="{00000000-0005-0000-0000-000008040000}"/>
    <cellStyle name="40% - Accent1 2 6 2 2" xfId="7939" xr:uid="{00000000-0005-0000-0000-000009040000}"/>
    <cellStyle name="40% - Accent1 2 6 2 2 2" xfId="16378" xr:uid="{97BA7879-2915-4D05-93B0-A2648B752709}"/>
    <cellStyle name="40% - Accent1 2 6 2 3" xfId="12160" xr:uid="{F9DD0DD2-736F-4D7C-87AC-F60AE685A3C0}"/>
    <cellStyle name="40% - Accent1 2 6 3" xfId="5794" xr:uid="{00000000-0005-0000-0000-00000A040000}"/>
    <cellStyle name="40% - Accent1 2 6 3 2" xfId="14233" xr:uid="{8604E3D8-DDC8-448B-8D19-DF18DD80AFF8}"/>
    <cellStyle name="40% - Accent1 2 6 4" xfId="10015" xr:uid="{4393D374-FAE4-439E-AD6A-83962A70EEA3}"/>
    <cellStyle name="40% - Accent1 2 7" xfId="1900" xr:uid="{00000000-0005-0000-0000-00000B040000}"/>
    <cellStyle name="40% - Accent1 2 7 2" xfId="4129" xr:uid="{00000000-0005-0000-0000-00000C040000}"/>
    <cellStyle name="40% - Accent1 2 7 2 2" xfId="8352" xr:uid="{00000000-0005-0000-0000-00000D040000}"/>
    <cellStyle name="40% - Accent1 2 7 2 2 2" xfId="16791" xr:uid="{F3B54DB6-8956-441E-A723-A24BE6D99F11}"/>
    <cellStyle name="40% - Accent1 2 7 2 3" xfId="12573" xr:uid="{8B42483F-B5B0-428E-B293-B636FDCE5067}"/>
    <cellStyle name="40% - Accent1 2 7 3" xfId="6207" xr:uid="{00000000-0005-0000-0000-00000E040000}"/>
    <cellStyle name="40% - Accent1 2 7 3 2" xfId="14646" xr:uid="{76444BCA-96C3-4CB1-8AB3-1AE2A61636D4}"/>
    <cellStyle name="40% - Accent1 2 7 4" xfId="10428" xr:uid="{BE586E50-2B3A-47C6-9C60-A2B0256300C6}"/>
    <cellStyle name="40% - Accent1 2 8" xfId="2313" xr:uid="{00000000-0005-0000-0000-00000F040000}"/>
    <cellStyle name="40% - Accent1 2 8 2" xfId="6620" xr:uid="{00000000-0005-0000-0000-000010040000}"/>
    <cellStyle name="40% - Accent1 2 8 2 2" xfId="15059" xr:uid="{DA7EA7C7-75C2-45CC-AF08-60C0485C3AA8}"/>
    <cellStyle name="40% - Accent1 2 8 3" xfId="10841" xr:uid="{49A07520-3898-491C-BF91-D1B8CD372321}"/>
    <cellStyle name="40% - Accent1 2 9" xfId="4554" xr:uid="{00000000-0005-0000-0000-000011040000}"/>
    <cellStyle name="40% - Accent1 2 9 2" xfId="12993" xr:uid="{0DB82D32-7AD1-4096-BD3B-95D64DF688DA}"/>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5557" xr:uid="{9367E84D-5DF9-4C27-8727-F788D2C9D58D}"/>
    <cellStyle name="40% - Accent1 3 2 2 2 3" xfId="11339" xr:uid="{198AA23B-4B30-40CC-BE3A-EA843CCC4789}"/>
    <cellStyle name="40% - Accent1 3 2 2 3" xfId="4973" xr:uid="{00000000-0005-0000-0000-000017040000}"/>
    <cellStyle name="40% - Accent1 3 2 2 3 2" xfId="13412" xr:uid="{BBBC7A62-9827-428F-AFEE-33ECDAF30CC3}"/>
    <cellStyle name="40% - Accent1 3 2 2 4" xfId="9194" xr:uid="{522D6520-6E1F-4B6E-88B8-4CF3A7C82D25}"/>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15970" xr:uid="{DC8345C6-D9D7-4A29-8033-F185514215D5}"/>
    <cellStyle name="40% - Accent1 3 2 3 2 3" xfId="11752" xr:uid="{5A84E55F-C3D7-49B8-B968-4053029B7528}"/>
    <cellStyle name="40% - Accent1 3 2 3 3" xfId="5386" xr:uid="{00000000-0005-0000-0000-00001B040000}"/>
    <cellStyle name="40% - Accent1 3 2 3 3 2" xfId="13825" xr:uid="{DAABD169-C447-45FE-BEBF-C3338D9A0822}"/>
    <cellStyle name="40% - Accent1 3 2 3 4" xfId="9607" xr:uid="{CABB0909-F6EB-4585-9593-7FB5A1EF6A28}"/>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16383" xr:uid="{11D61F1F-3C39-412D-8CA3-4459C04DF241}"/>
    <cellStyle name="40% - Accent1 3 2 4 2 3" xfId="12165" xr:uid="{6B292B80-0487-4280-BDC2-A3CEA7DD73CB}"/>
    <cellStyle name="40% - Accent1 3 2 4 3" xfId="5799" xr:uid="{00000000-0005-0000-0000-00001F040000}"/>
    <cellStyle name="40% - Accent1 3 2 4 3 2" xfId="14238" xr:uid="{1C54D8E4-AFBE-4528-ADA2-CB48C1A58667}"/>
    <cellStyle name="40% - Accent1 3 2 4 4" xfId="10020" xr:uid="{032D4C03-B05E-4A79-A2B9-B146586A9D18}"/>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16796" xr:uid="{D8A72C6F-CBEA-4259-80EF-37915DB2F6A8}"/>
    <cellStyle name="40% - Accent1 3 2 5 2 3" xfId="12578" xr:uid="{95C8CC10-7642-44C0-ACF9-0E108B57663C}"/>
    <cellStyle name="40% - Accent1 3 2 5 3" xfId="6212" xr:uid="{00000000-0005-0000-0000-000023040000}"/>
    <cellStyle name="40% - Accent1 3 2 5 3 2" xfId="14651" xr:uid="{EBAB6B89-173E-4542-9D99-D135EF00F883}"/>
    <cellStyle name="40% - Accent1 3 2 5 4" xfId="10433" xr:uid="{5EAD07FD-5C13-49C4-A333-FBE00866EB57}"/>
    <cellStyle name="40% - Accent1 3 2 6" xfId="2318" xr:uid="{00000000-0005-0000-0000-000024040000}"/>
    <cellStyle name="40% - Accent1 3 2 6 2" xfId="6625" xr:uid="{00000000-0005-0000-0000-000025040000}"/>
    <cellStyle name="40% - Accent1 3 2 6 2 2" xfId="15064" xr:uid="{2E9EDF19-E729-4C7C-9305-44F15A64BA94}"/>
    <cellStyle name="40% - Accent1 3 2 6 3" xfId="10846" xr:uid="{54B3884A-CC05-42E0-AA1B-E94C384E35C1}"/>
    <cellStyle name="40% - Accent1 3 2 7" xfId="4559" xr:uid="{00000000-0005-0000-0000-000026040000}"/>
    <cellStyle name="40% - Accent1 3 2 7 2" xfId="12998" xr:uid="{31830A21-2BC2-4C22-84D4-48AED5836D2D}"/>
    <cellStyle name="40% - Accent1 3 2 8" xfId="8780" xr:uid="{47C89F39-CB31-4D6B-84E4-68314D20AAAD}"/>
    <cellStyle name="40% - Accent1 3 3" xfId="623" xr:uid="{00000000-0005-0000-0000-000027040000}"/>
    <cellStyle name="40% - Accent1 3 3 2" xfId="2894" xr:uid="{00000000-0005-0000-0000-000028040000}"/>
    <cellStyle name="40% - Accent1 3 3 2 2" xfId="7117" xr:uid="{00000000-0005-0000-0000-000029040000}"/>
    <cellStyle name="40% - Accent1 3 3 2 2 2" xfId="15556" xr:uid="{848D796E-2AEB-48F8-987C-93E742B14335}"/>
    <cellStyle name="40% - Accent1 3 3 2 3" xfId="11338" xr:uid="{12A3E5BB-09A6-4977-8C10-8A2282E48E07}"/>
    <cellStyle name="40% - Accent1 3 3 3" xfId="4972" xr:uid="{00000000-0005-0000-0000-00002A040000}"/>
    <cellStyle name="40% - Accent1 3 3 3 2" xfId="13411" xr:uid="{A91E51A1-7642-48EE-8F0B-723DC3A46BF2}"/>
    <cellStyle name="40% - Accent1 3 3 4" xfId="9193" xr:uid="{CFD67C24-8F91-4E01-AD57-74D1C1CA115F}"/>
    <cellStyle name="40% - Accent1 3 4" xfId="1076" xr:uid="{00000000-0005-0000-0000-00002B040000}"/>
    <cellStyle name="40% - Accent1 3 4 2" xfId="3307" xr:uid="{00000000-0005-0000-0000-00002C040000}"/>
    <cellStyle name="40% - Accent1 3 4 2 2" xfId="7530" xr:uid="{00000000-0005-0000-0000-00002D040000}"/>
    <cellStyle name="40% - Accent1 3 4 2 2 2" xfId="15969" xr:uid="{DEC6EE44-EF43-41D6-A065-EAC24D879D92}"/>
    <cellStyle name="40% - Accent1 3 4 2 3" xfId="11751" xr:uid="{2FAC0E88-83EA-435F-BE2A-74B5FDA6EC4A}"/>
    <cellStyle name="40% - Accent1 3 4 3" xfId="5385" xr:uid="{00000000-0005-0000-0000-00002E040000}"/>
    <cellStyle name="40% - Accent1 3 4 3 2" xfId="13824" xr:uid="{BB86A2BA-1FD5-4797-96AC-41AD716DF12C}"/>
    <cellStyle name="40% - Accent1 3 4 4" xfId="9606" xr:uid="{296A6F0C-314F-4AED-B186-4A0783075E66}"/>
    <cellStyle name="40% - Accent1 3 5" xfId="1490" xr:uid="{00000000-0005-0000-0000-00002F040000}"/>
    <cellStyle name="40% - Accent1 3 5 2" xfId="3720" xr:uid="{00000000-0005-0000-0000-000030040000}"/>
    <cellStyle name="40% - Accent1 3 5 2 2" xfId="7943" xr:uid="{00000000-0005-0000-0000-000031040000}"/>
    <cellStyle name="40% - Accent1 3 5 2 2 2" xfId="16382" xr:uid="{DC4C34B0-64DE-4388-938E-82374B77ACC6}"/>
    <cellStyle name="40% - Accent1 3 5 2 3" xfId="12164" xr:uid="{B0C40EC0-481B-43B5-886D-BF3CC2D22682}"/>
    <cellStyle name="40% - Accent1 3 5 3" xfId="5798" xr:uid="{00000000-0005-0000-0000-000032040000}"/>
    <cellStyle name="40% - Accent1 3 5 3 2" xfId="14237" xr:uid="{3B665AF1-9AAD-430C-9166-76C1F5E289BE}"/>
    <cellStyle name="40% - Accent1 3 5 4" xfId="10019" xr:uid="{4E2D9669-0004-4CCC-A815-755EB858FC31}"/>
    <cellStyle name="40% - Accent1 3 6" xfId="1904" xr:uid="{00000000-0005-0000-0000-000033040000}"/>
    <cellStyle name="40% - Accent1 3 6 2" xfId="4133" xr:uid="{00000000-0005-0000-0000-000034040000}"/>
    <cellStyle name="40% - Accent1 3 6 2 2" xfId="8356" xr:uid="{00000000-0005-0000-0000-000035040000}"/>
    <cellStyle name="40% - Accent1 3 6 2 2 2" xfId="16795" xr:uid="{08F98163-A9E9-45C5-B27B-D44D6AE4A051}"/>
    <cellStyle name="40% - Accent1 3 6 2 3" xfId="12577" xr:uid="{690D4D84-F3A1-4BA1-B7B7-8CF20CDFD55F}"/>
    <cellStyle name="40% - Accent1 3 6 3" xfId="6211" xr:uid="{00000000-0005-0000-0000-000036040000}"/>
    <cellStyle name="40% - Accent1 3 6 3 2" xfId="14650" xr:uid="{844B0DC4-5F12-4451-8385-662CDCFA6D9E}"/>
    <cellStyle name="40% - Accent1 3 6 4" xfId="10432" xr:uid="{CB3E6C9D-2BEA-4F5F-82B7-447D7D352DAF}"/>
    <cellStyle name="40% - Accent1 3 7" xfId="2317" xr:uid="{00000000-0005-0000-0000-000037040000}"/>
    <cellStyle name="40% - Accent1 3 7 2" xfId="6624" xr:uid="{00000000-0005-0000-0000-000038040000}"/>
    <cellStyle name="40% - Accent1 3 7 2 2" xfId="15063" xr:uid="{06CB3739-55B7-4FFE-BB9E-7BFD7E3F8211}"/>
    <cellStyle name="40% - Accent1 3 7 3" xfId="10845" xr:uid="{78C2E05C-9A3C-43C2-B31C-8CDDF4504D43}"/>
    <cellStyle name="40% - Accent1 3 8" xfId="4558" xr:uid="{00000000-0005-0000-0000-000039040000}"/>
    <cellStyle name="40% - Accent1 3 8 2" xfId="12997" xr:uid="{E59AF53B-455B-4F49-9DD8-EFDE557D9EB9}"/>
    <cellStyle name="40% - Accent1 3 9" xfId="8779" xr:uid="{D2802C77-2F48-4B26-9368-A99E2A4FFF73}"/>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15558" xr:uid="{275B114A-F4B6-4C3A-89E1-35C3268520B1}"/>
    <cellStyle name="40% - Accent1 4 2 2 3" xfId="11340" xr:uid="{9597CED8-CB37-4C3B-881F-E89743150B17}"/>
    <cellStyle name="40% - Accent1 4 2 3" xfId="4974" xr:uid="{00000000-0005-0000-0000-00003E040000}"/>
    <cellStyle name="40% - Accent1 4 2 3 2" xfId="13413" xr:uid="{F234B65D-F477-4595-8AC7-9157578575FF}"/>
    <cellStyle name="40% - Accent1 4 2 4" xfId="9195" xr:uid="{E3C43E67-92F3-4C2A-934C-12365C517DB1}"/>
    <cellStyle name="40% - Accent1 4 3" xfId="1078" xr:uid="{00000000-0005-0000-0000-00003F040000}"/>
    <cellStyle name="40% - Accent1 4 3 2" xfId="3309" xr:uid="{00000000-0005-0000-0000-000040040000}"/>
    <cellStyle name="40% - Accent1 4 3 2 2" xfId="7532" xr:uid="{00000000-0005-0000-0000-000041040000}"/>
    <cellStyle name="40% - Accent1 4 3 2 2 2" xfId="15971" xr:uid="{50810E82-82E9-403D-8A63-42926ABFDF20}"/>
    <cellStyle name="40% - Accent1 4 3 2 3" xfId="11753" xr:uid="{11F7CF49-ABB2-41BC-83B6-0C15B5ED8DCB}"/>
    <cellStyle name="40% - Accent1 4 3 3" xfId="5387" xr:uid="{00000000-0005-0000-0000-000042040000}"/>
    <cellStyle name="40% - Accent1 4 3 3 2" xfId="13826" xr:uid="{A161AD35-573C-4DC5-9A18-30E1BB594BA1}"/>
    <cellStyle name="40% - Accent1 4 3 4" xfId="9608" xr:uid="{DB4CD253-7739-4804-9B12-2E3A17BF80DE}"/>
    <cellStyle name="40% - Accent1 4 4" xfId="1492" xr:uid="{00000000-0005-0000-0000-000043040000}"/>
    <cellStyle name="40% - Accent1 4 4 2" xfId="3722" xr:uid="{00000000-0005-0000-0000-000044040000}"/>
    <cellStyle name="40% - Accent1 4 4 2 2" xfId="7945" xr:uid="{00000000-0005-0000-0000-000045040000}"/>
    <cellStyle name="40% - Accent1 4 4 2 2 2" xfId="16384" xr:uid="{ABC3AC28-AFDE-4A24-847E-C123C2E7C14F}"/>
    <cellStyle name="40% - Accent1 4 4 2 3" xfId="12166" xr:uid="{9A16693F-31AF-4A24-8E9D-CFA2F40598BA}"/>
    <cellStyle name="40% - Accent1 4 4 3" xfId="5800" xr:uid="{00000000-0005-0000-0000-000046040000}"/>
    <cellStyle name="40% - Accent1 4 4 3 2" xfId="14239" xr:uid="{20920F4E-6304-49C0-A575-2E529FCCE383}"/>
    <cellStyle name="40% - Accent1 4 4 4" xfId="10021" xr:uid="{C62EE90F-DCAE-485E-A3E2-7E6161CD175E}"/>
    <cellStyle name="40% - Accent1 4 5" xfId="1906" xr:uid="{00000000-0005-0000-0000-000047040000}"/>
    <cellStyle name="40% - Accent1 4 5 2" xfId="4135" xr:uid="{00000000-0005-0000-0000-000048040000}"/>
    <cellStyle name="40% - Accent1 4 5 2 2" xfId="8358" xr:uid="{00000000-0005-0000-0000-000049040000}"/>
    <cellStyle name="40% - Accent1 4 5 2 2 2" xfId="16797" xr:uid="{854904A0-8FAB-434F-88B5-2D38342B0612}"/>
    <cellStyle name="40% - Accent1 4 5 2 3" xfId="12579" xr:uid="{13746ACA-A930-42DC-B1DB-258FB4A725F0}"/>
    <cellStyle name="40% - Accent1 4 5 3" xfId="6213" xr:uid="{00000000-0005-0000-0000-00004A040000}"/>
    <cellStyle name="40% - Accent1 4 5 3 2" xfId="14652" xr:uid="{0DD7BF2D-925A-4464-B719-0E5BF5F85CFE}"/>
    <cellStyle name="40% - Accent1 4 5 4" xfId="10434" xr:uid="{4D491457-36AF-4665-8C9F-E367B4172B23}"/>
    <cellStyle name="40% - Accent1 4 6" xfId="2319" xr:uid="{00000000-0005-0000-0000-00004B040000}"/>
    <cellStyle name="40% - Accent1 4 6 2" xfId="6626" xr:uid="{00000000-0005-0000-0000-00004C040000}"/>
    <cellStyle name="40% - Accent1 4 6 2 2" xfId="15065" xr:uid="{9363BD89-79B5-4672-92CA-F00AA382AB3B}"/>
    <cellStyle name="40% - Accent1 4 6 3" xfId="10847" xr:uid="{E0A07D9C-7DBA-4F16-9F2C-08793F43B90D}"/>
    <cellStyle name="40% - Accent1 4 7" xfId="4560" xr:uid="{00000000-0005-0000-0000-00004D040000}"/>
    <cellStyle name="40% - Accent1 4 7 2" xfId="12999" xr:uid="{A6D95AF1-8CF0-4FB8-9F52-D355AFC557D7}"/>
    <cellStyle name="40% - Accent1 4 8" xfId="8781" xr:uid="{74F4FAC9-15E9-4BF5-8F44-F04D4337CE88}"/>
    <cellStyle name="40% - Accent1 5" xfId="618" xr:uid="{00000000-0005-0000-0000-00004E040000}"/>
    <cellStyle name="40% - Accent1 5 2" xfId="2889" xr:uid="{00000000-0005-0000-0000-00004F040000}"/>
    <cellStyle name="40% - Accent1 5 2 2" xfId="7112" xr:uid="{00000000-0005-0000-0000-000050040000}"/>
    <cellStyle name="40% - Accent1 5 2 2 2" xfId="15551" xr:uid="{F86FF145-2299-47BB-B39B-B308D2F569BE}"/>
    <cellStyle name="40% - Accent1 5 2 3" xfId="11333" xr:uid="{54E9C750-A60D-4DAF-8CEF-289670C22ADD}"/>
    <cellStyle name="40% - Accent1 5 3" xfId="4967" xr:uid="{00000000-0005-0000-0000-000051040000}"/>
    <cellStyle name="40% - Accent1 5 3 2" xfId="13406" xr:uid="{C48AE771-00ED-491A-9AC0-4277CFCBE3D2}"/>
    <cellStyle name="40% - Accent1 5 4" xfId="9188" xr:uid="{6E896194-5F65-40B1-9FF8-30DBF7B2E622}"/>
    <cellStyle name="40% - Accent1 6" xfId="1071" xr:uid="{00000000-0005-0000-0000-000052040000}"/>
    <cellStyle name="40% - Accent1 6 2" xfId="3302" xr:uid="{00000000-0005-0000-0000-000053040000}"/>
    <cellStyle name="40% - Accent1 6 2 2" xfId="7525" xr:uid="{00000000-0005-0000-0000-000054040000}"/>
    <cellStyle name="40% - Accent1 6 2 2 2" xfId="15964" xr:uid="{022C11E0-0DB4-4870-9957-410657812944}"/>
    <cellStyle name="40% - Accent1 6 2 3" xfId="11746" xr:uid="{85A68DB9-822D-4422-BCCC-DF7D48135E7F}"/>
    <cellStyle name="40% - Accent1 6 3" xfId="5380" xr:uid="{00000000-0005-0000-0000-000055040000}"/>
    <cellStyle name="40% - Accent1 6 3 2" xfId="13819" xr:uid="{B2B45626-47EA-48B7-81CD-6E5BF42163DB}"/>
    <cellStyle name="40% - Accent1 6 4" xfId="9601" xr:uid="{D36DBBDB-F2C6-4E6D-9116-45AD2EFC9AD4}"/>
    <cellStyle name="40% - Accent1 7" xfId="1485" xr:uid="{00000000-0005-0000-0000-000056040000}"/>
    <cellStyle name="40% - Accent1 7 2" xfId="3715" xr:uid="{00000000-0005-0000-0000-000057040000}"/>
    <cellStyle name="40% - Accent1 7 2 2" xfId="7938" xr:uid="{00000000-0005-0000-0000-000058040000}"/>
    <cellStyle name="40% - Accent1 7 2 2 2" xfId="16377" xr:uid="{A2B32C39-9353-4A18-AF4B-4FEBB81E1795}"/>
    <cellStyle name="40% - Accent1 7 2 3" xfId="12159" xr:uid="{3B12A5EE-31B1-4DC5-85DF-F80B3D956BA4}"/>
    <cellStyle name="40% - Accent1 7 3" xfId="5793" xr:uid="{00000000-0005-0000-0000-000059040000}"/>
    <cellStyle name="40% - Accent1 7 3 2" xfId="14232" xr:uid="{C89A149A-8167-4350-8622-1842E42CFA85}"/>
    <cellStyle name="40% - Accent1 7 4" xfId="10014" xr:uid="{46E8B4FC-F4D4-4A32-9619-A37AD6D7E8D3}"/>
    <cellStyle name="40% - Accent1 8" xfId="1899" xr:uid="{00000000-0005-0000-0000-00005A040000}"/>
    <cellStyle name="40% - Accent1 8 2" xfId="4128" xr:uid="{00000000-0005-0000-0000-00005B040000}"/>
    <cellStyle name="40% - Accent1 8 2 2" xfId="8351" xr:uid="{00000000-0005-0000-0000-00005C040000}"/>
    <cellStyle name="40% - Accent1 8 2 2 2" xfId="16790" xr:uid="{3A32CD05-ED9A-4F1D-9F4B-CB8464E0B91D}"/>
    <cellStyle name="40% - Accent1 8 2 3" xfId="12572" xr:uid="{B95A6F8B-4FB0-4597-868B-A42998F2CAD5}"/>
    <cellStyle name="40% - Accent1 8 3" xfId="6206" xr:uid="{00000000-0005-0000-0000-00005D040000}"/>
    <cellStyle name="40% - Accent1 8 3 2" xfId="14645" xr:uid="{F327C51E-A919-4698-8C10-C91F66E4104B}"/>
    <cellStyle name="40% - Accent1 8 4" xfId="10427" xr:uid="{C65B3532-8EE5-42CE-BA3C-2129AA014785}"/>
    <cellStyle name="40% - Accent1 9" xfId="2312" xr:uid="{00000000-0005-0000-0000-00005E040000}"/>
    <cellStyle name="40% - Accent1 9 2" xfId="6619" xr:uid="{00000000-0005-0000-0000-00005F040000}"/>
    <cellStyle name="40% - Accent1 9 2 2" xfId="15058" xr:uid="{CCC043C1-423A-485E-9BBB-3DF00367E1B1}"/>
    <cellStyle name="40% - Accent1 9 3" xfId="10840" xr:uid="{3D726F32-8AD9-40AC-9BDA-F6549C1AB4D6}"/>
    <cellStyle name="40% - Accent2" xfId="57" builtinId="35" customBuiltin="1"/>
    <cellStyle name="40% - Accent2 10" xfId="4561" xr:uid="{00000000-0005-0000-0000-000061040000}"/>
    <cellStyle name="40% - Accent2 10 2" xfId="13000" xr:uid="{7176B7AB-F9E0-4438-9F0F-5DD95177F779}"/>
    <cellStyle name="40% - Accent2 11" xfId="8782" xr:uid="{872A0856-79CB-401D-8536-209219E7CE8B}"/>
    <cellStyle name="40% - Accent2 2" xfId="58" xr:uid="{00000000-0005-0000-0000-000062040000}"/>
    <cellStyle name="40% - Accent2 2 10" xfId="8783" xr:uid="{91157287-7061-42BB-B03F-358DE54507D2}"/>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5562" xr:uid="{F6290543-20CB-4257-96B3-88E62ABF5990}"/>
    <cellStyle name="40% - Accent2 2 2 2 2 2 3" xfId="11344" xr:uid="{4F940047-DBB8-4510-A1E0-EBDEA3EAAE2F}"/>
    <cellStyle name="40% - Accent2 2 2 2 2 3" xfId="4978" xr:uid="{00000000-0005-0000-0000-000068040000}"/>
    <cellStyle name="40% - Accent2 2 2 2 2 3 2" xfId="13417" xr:uid="{BB079E1D-5F5B-4FB4-9013-8B939428D5BE}"/>
    <cellStyle name="40% - Accent2 2 2 2 2 4" xfId="9199" xr:uid="{D6143784-2EEE-4AC4-8E42-75A98AA6EE1F}"/>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15975" xr:uid="{F8B04006-B804-4874-B50E-1A701A708A95}"/>
    <cellStyle name="40% - Accent2 2 2 2 3 2 3" xfId="11757" xr:uid="{F0FD2E10-7404-40A6-BE1B-75000E84DDE5}"/>
    <cellStyle name="40% - Accent2 2 2 2 3 3" xfId="5391" xr:uid="{00000000-0005-0000-0000-00006C040000}"/>
    <cellStyle name="40% - Accent2 2 2 2 3 3 2" xfId="13830" xr:uid="{4C3395FA-FC0F-43D2-9CD2-C9D031D449B3}"/>
    <cellStyle name="40% - Accent2 2 2 2 3 4" xfId="9612" xr:uid="{C37B07BA-8BCE-4D24-84CF-CD7C4BAB47AE}"/>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16388" xr:uid="{BAD299A9-D040-4A48-AF69-36C98780993A}"/>
    <cellStyle name="40% - Accent2 2 2 2 4 2 3" xfId="12170" xr:uid="{EFC2AD68-63EE-4E2B-8967-032AF18A2D31}"/>
    <cellStyle name="40% - Accent2 2 2 2 4 3" xfId="5804" xr:uid="{00000000-0005-0000-0000-000070040000}"/>
    <cellStyle name="40% - Accent2 2 2 2 4 3 2" xfId="14243" xr:uid="{017901CD-B04D-42B4-B75B-4DF29345BF09}"/>
    <cellStyle name="40% - Accent2 2 2 2 4 4" xfId="10025" xr:uid="{EF926C31-E154-42CC-89DE-9C4D97657096}"/>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16801" xr:uid="{6910D070-6994-414D-A3D0-E7DBA6EC963B}"/>
    <cellStyle name="40% - Accent2 2 2 2 5 2 3" xfId="12583" xr:uid="{6A36DBBF-570C-45D2-B647-5BC003B0256F}"/>
    <cellStyle name="40% - Accent2 2 2 2 5 3" xfId="6217" xr:uid="{00000000-0005-0000-0000-000074040000}"/>
    <cellStyle name="40% - Accent2 2 2 2 5 3 2" xfId="14656" xr:uid="{7DFA8BEF-8184-46B2-9C3D-47CBE952100A}"/>
    <cellStyle name="40% - Accent2 2 2 2 5 4" xfId="10438" xr:uid="{6F73F238-AD88-4776-8B5C-AD9FDB9297C7}"/>
    <cellStyle name="40% - Accent2 2 2 2 6" xfId="2323" xr:uid="{00000000-0005-0000-0000-000075040000}"/>
    <cellStyle name="40% - Accent2 2 2 2 6 2" xfId="6630" xr:uid="{00000000-0005-0000-0000-000076040000}"/>
    <cellStyle name="40% - Accent2 2 2 2 6 2 2" xfId="15069" xr:uid="{AB998380-6C10-42E6-A3B3-9577413A00BC}"/>
    <cellStyle name="40% - Accent2 2 2 2 6 3" xfId="10851" xr:uid="{7E4D065F-7F89-46FE-8645-CD6D2914F066}"/>
    <cellStyle name="40% - Accent2 2 2 2 7" xfId="4564" xr:uid="{00000000-0005-0000-0000-000077040000}"/>
    <cellStyle name="40% - Accent2 2 2 2 7 2" xfId="13003" xr:uid="{F2A446E8-0DB3-4609-BF8E-A387C76AEE2C}"/>
    <cellStyle name="40% - Accent2 2 2 2 8" xfId="8785" xr:uid="{FFC6FB73-EA51-4FB3-945E-A719AEC1418B}"/>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5561" xr:uid="{B1234218-4C61-4044-B271-1BEA23AEDEF1}"/>
    <cellStyle name="40% - Accent2 2 2 3 2 3" xfId="11343" xr:uid="{C9068F6F-BC89-47A6-9195-9424B5171F29}"/>
    <cellStyle name="40% - Accent2 2 2 3 3" xfId="4977" xr:uid="{00000000-0005-0000-0000-00007B040000}"/>
    <cellStyle name="40% - Accent2 2 2 3 3 2" xfId="13416" xr:uid="{08CAE61B-64F3-4007-9D37-D10E397622E4}"/>
    <cellStyle name="40% - Accent2 2 2 3 4" xfId="9198" xr:uid="{B417EFEF-1316-447D-843D-A672AD01468D}"/>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15974" xr:uid="{B8BC018B-B09D-4950-948B-904600FDE15A}"/>
    <cellStyle name="40% - Accent2 2 2 4 2 3" xfId="11756" xr:uid="{318A2318-7605-4A04-8B61-D7231D03C722}"/>
    <cellStyle name="40% - Accent2 2 2 4 3" xfId="5390" xr:uid="{00000000-0005-0000-0000-00007F040000}"/>
    <cellStyle name="40% - Accent2 2 2 4 3 2" xfId="13829" xr:uid="{18409B68-CEEB-4DE9-80D5-DFD94051D327}"/>
    <cellStyle name="40% - Accent2 2 2 4 4" xfId="9611" xr:uid="{E4229FFD-FB83-4D7A-83FE-24ECECB2DB8E}"/>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16387" xr:uid="{9A4E281D-A5B0-4511-9005-6822A8B63871}"/>
    <cellStyle name="40% - Accent2 2 2 5 2 3" xfId="12169" xr:uid="{9403CC68-A77F-4D73-823A-A2E374191F72}"/>
    <cellStyle name="40% - Accent2 2 2 5 3" xfId="5803" xr:uid="{00000000-0005-0000-0000-000083040000}"/>
    <cellStyle name="40% - Accent2 2 2 5 3 2" xfId="14242" xr:uid="{20A39ACC-6FAE-4905-A31A-D78F97716F58}"/>
    <cellStyle name="40% - Accent2 2 2 5 4" xfId="10024" xr:uid="{0A994EDF-82B0-458F-8BBF-A3AB47D1AC0D}"/>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16800" xr:uid="{67626B9B-DE90-4DAD-B207-8D67E0D04F27}"/>
    <cellStyle name="40% - Accent2 2 2 6 2 3" xfId="12582" xr:uid="{B8619E22-FA88-4150-A212-647A3C5A72AA}"/>
    <cellStyle name="40% - Accent2 2 2 6 3" xfId="6216" xr:uid="{00000000-0005-0000-0000-000087040000}"/>
    <cellStyle name="40% - Accent2 2 2 6 3 2" xfId="14655" xr:uid="{287EEA2F-4651-4A49-8D83-7542F2FAC531}"/>
    <cellStyle name="40% - Accent2 2 2 6 4" xfId="10437" xr:uid="{1FA21D3C-BB42-45A3-B50C-4F5E0173A374}"/>
    <cellStyle name="40% - Accent2 2 2 7" xfId="2322" xr:uid="{00000000-0005-0000-0000-000088040000}"/>
    <cellStyle name="40% - Accent2 2 2 7 2" xfId="6629" xr:uid="{00000000-0005-0000-0000-000089040000}"/>
    <cellStyle name="40% - Accent2 2 2 7 2 2" xfId="15068" xr:uid="{9E2BC7F7-109E-4282-8546-CA5E87F19670}"/>
    <cellStyle name="40% - Accent2 2 2 7 3" xfId="10850" xr:uid="{732FED32-3471-462F-B5C3-9DF1DB82D261}"/>
    <cellStyle name="40% - Accent2 2 2 8" xfId="4563" xr:uid="{00000000-0005-0000-0000-00008A040000}"/>
    <cellStyle name="40% - Accent2 2 2 8 2" xfId="13002" xr:uid="{A47FF85F-9E20-4CFD-856C-735769AFC3EE}"/>
    <cellStyle name="40% - Accent2 2 2 9" xfId="8784" xr:uid="{95587BF4-28E1-4CCC-83F1-0E9D61C7004F}"/>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5563" xr:uid="{F488E95B-50C7-4683-862F-82D998C13088}"/>
    <cellStyle name="40% - Accent2 2 3 2 2 3" xfId="11345" xr:uid="{A0970007-8F9C-4E47-A855-EB915F9A882C}"/>
    <cellStyle name="40% - Accent2 2 3 2 3" xfId="4979" xr:uid="{00000000-0005-0000-0000-00008F040000}"/>
    <cellStyle name="40% - Accent2 2 3 2 3 2" xfId="13418" xr:uid="{9D10BD07-2C16-4A00-91C9-9A64A0FE6052}"/>
    <cellStyle name="40% - Accent2 2 3 2 4" xfId="9200" xr:uid="{3BB7F9F9-9096-445C-AE62-AF8D585DD0DF}"/>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15976" xr:uid="{37554AE4-9AA1-4D80-8BEE-D4F823AC298D}"/>
    <cellStyle name="40% - Accent2 2 3 3 2 3" xfId="11758" xr:uid="{53C3FBA7-2E1A-45B5-A55F-BF652794118D}"/>
    <cellStyle name="40% - Accent2 2 3 3 3" xfId="5392" xr:uid="{00000000-0005-0000-0000-000093040000}"/>
    <cellStyle name="40% - Accent2 2 3 3 3 2" xfId="13831" xr:uid="{20BBC77B-C87A-4AED-846E-46770E45D1A6}"/>
    <cellStyle name="40% - Accent2 2 3 3 4" xfId="9613" xr:uid="{3B84425D-789D-412C-82E4-6F9845CB11AA}"/>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16389" xr:uid="{2A29B5AB-6F22-42CD-9D9C-FB72452A06B5}"/>
    <cellStyle name="40% - Accent2 2 3 4 2 3" xfId="12171" xr:uid="{C0684D3A-B7AB-498C-B00D-C3EBD34A30EC}"/>
    <cellStyle name="40% - Accent2 2 3 4 3" xfId="5805" xr:uid="{00000000-0005-0000-0000-000097040000}"/>
    <cellStyle name="40% - Accent2 2 3 4 3 2" xfId="14244" xr:uid="{83A6E4DB-088D-4FF0-8C8A-0486A9ADBC8E}"/>
    <cellStyle name="40% - Accent2 2 3 4 4" xfId="10026" xr:uid="{114B51ED-6510-4556-A467-5A3B54394F0A}"/>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16802" xr:uid="{5B87AE7F-C90E-468B-8872-64BC199CC01F}"/>
    <cellStyle name="40% - Accent2 2 3 5 2 3" xfId="12584" xr:uid="{10BF0D39-EC16-47DA-A368-02171767068A}"/>
    <cellStyle name="40% - Accent2 2 3 5 3" xfId="6218" xr:uid="{00000000-0005-0000-0000-00009B040000}"/>
    <cellStyle name="40% - Accent2 2 3 5 3 2" xfId="14657" xr:uid="{749E2973-3C82-4F51-94F2-91FF903D44F3}"/>
    <cellStyle name="40% - Accent2 2 3 5 4" xfId="10439" xr:uid="{EC3E7CB1-432A-4C42-9A5E-6F4EC3F29ECE}"/>
    <cellStyle name="40% - Accent2 2 3 6" xfId="2324" xr:uid="{00000000-0005-0000-0000-00009C040000}"/>
    <cellStyle name="40% - Accent2 2 3 6 2" xfId="6631" xr:uid="{00000000-0005-0000-0000-00009D040000}"/>
    <cellStyle name="40% - Accent2 2 3 6 2 2" xfId="15070" xr:uid="{766FA39D-7122-4011-AA11-2330C4B1AACA}"/>
    <cellStyle name="40% - Accent2 2 3 6 3" xfId="10852" xr:uid="{AFC554CF-8C11-42A7-AAB7-57F831015415}"/>
    <cellStyle name="40% - Accent2 2 3 7" xfId="4565" xr:uid="{00000000-0005-0000-0000-00009E040000}"/>
    <cellStyle name="40% - Accent2 2 3 7 2" xfId="13004" xr:uid="{DF4A1692-A2F7-4F0E-AD11-9343C894AC50}"/>
    <cellStyle name="40% - Accent2 2 3 8" xfId="8786" xr:uid="{26F9F7F0-2586-494D-A156-92FDF58D9845}"/>
    <cellStyle name="40% - Accent2 2 4" xfId="627" xr:uid="{00000000-0005-0000-0000-00009F040000}"/>
    <cellStyle name="40% - Accent2 2 4 2" xfId="2898" xr:uid="{00000000-0005-0000-0000-0000A0040000}"/>
    <cellStyle name="40% - Accent2 2 4 2 2" xfId="7121" xr:uid="{00000000-0005-0000-0000-0000A1040000}"/>
    <cellStyle name="40% - Accent2 2 4 2 2 2" xfId="15560" xr:uid="{D53C613D-0290-402E-BEF1-37F4854DD5C6}"/>
    <cellStyle name="40% - Accent2 2 4 2 3" xfId="11342" xr:uid="{B83F25CE-03E0-46A2-8132-706D2B16C935}"/>
    <cellStyle name="40% - Accent2 2 4 3" xfId="4976" xr:uid="{00000000-0005-0000-0000-0000A2040000}"/>
    <cellStyle name="40% - Accent2 2 4 3 2" xfId="13415" xr:uid="{DA221F1D-ECB7-46E8-B452-8116964B4EC4}"/>
    <cellStyle name="40% - Accent2 2 4 4" xfId="9197" xr:uid="{5E8A755E-C7E1-4A2A-90D9-79DDAC334A3D}"/>
    <cellStyle name="40% - Accent2 2 5" xfId="1080" xr:uid="{00000000-0005-0000-0000-0000A3040000}"/>
    <cellStyle name="40% - Accent2 2 5 2" xfId="3311" xr:uid="{00000000-0005-0000-0000-0000A4040000}"/>
    <cellStyle name="40% - Accent2 2 5 2 2" xfId="7534" xr:uid="{00000000-0005-0000-0000-0000A5040000}"/>
    <cellStyle name="40% - Accent2 2 5 2 2 2" xfId="15973" xr:uid="{2FC7BEB4-4523-4190-BB95-C26F51B47D3D}"/>
    <cellStyle name="40% - Accent2 2 5 2 3" xfId="11755" xr:uid="{446B1353-7C87-414C-9B2A-E69A612E4D26}"/>
    <cellStyle name="40% - Accent2 2 5 3" xfId="5389" xr:uid="{00000000-0005-0000-0000-0000A6040000}"/>
    <cellStyle name="40% - Accent2 2 5 3 2" xfId="13828" xr:uid="{EC395C37-DD65-4A40-97FC-68176B3E285E}"/>
    <cellStyle name="40% - Accent2 2 5 4" xfId="9610" xr:uid="{05E54FFB-809C-4748-A3BC-36380E58948A}"/>
    <cellStyle name="40% - Accent2 2 6" xfId="1494" xr:uid="{00000000-0005-0000-0000-0000A7040000}"/>
    <cellStyle name="40% - Accent2 2 6 2" xfId="3724" xr:uid="{00000000-0005-0000-0000-0000A8040000}"/>
    <cellStyle name="40% - Accent2 2 6 2 2" xfId="7947" xr:uid="{00000000-0005-0000-0000-0000A9040000}"/>
    <cellStyle name="40% - Accent2 2 6 2 2 2" xfId="16386" xr:uid="{42CB0831-794B-4AE1-911B-23B6336E5EF8}"/>
    <cellStyle name="40% - Accent2 2 6 2 3" xfId="12168" xr:uid="{D0F88CC3-C26B-4236-9FEF-79230AF93760}"/>
    <cellStyle name="40% - Accent2 2 6 3" xfId="5802" xr:uid="{00000000-0005-0000-0000-0000AA040000}"/>
    <cellStyle name="40% - Accent2 2 6 3 2" xfId="14241" xr:uid="{958401EE-A587-4F22-8655-CC679C0EEE09}"/>
    <cellStyle name="40% - Accent2 2 6 4" xfId="10023" xr:uid="{3A639219-BF6C-4A01-A59A-26AAEB211DC2}"/>
    <cellStyle name="40% - Accent2 2 7" xfId="1908" xr:uid="{00000000-0005-0000-0000-0000AB040000}"/>
    <cellStyle name="40% - Accent2 2 7 2" xfId="4137" xr:uid="{00000000-0005-0000-0000-0000AC040000}"/>
    <cellStyle name="40% - Accent2 2 7 2 2" xfId="8360" xr:uid="{00000000-0005-0000-0000-0000AD040000}"/>
    <cellStyle name="40% - Accent2 2 7 2 2 2" xfId="16799" xr:uid="{8A610B79-40CA-4BCB-B89A-54D63A3ACE08}"/>
    <cellStyle name="40% - Accent2 2 7 2 3" xfId="12581" xr:uid="{A7C5B1DC-9243-4093-8527-BF30948F7EA3}"/>
    <cellStyle name="40% - Accent2 2 7 3" xfId="6215" xr:uid="{00000000-0005-0000-0000-0000AE040000}"/>
    <cellStyle name="40% - Accent2 2 7 3 2" xfId="14654" xr:uid="{7FDE818A-8866-4286-8210-D1C3858B0C44}"/>
    <cellStyle name="40% - Accent2 2 7 4" xfId="10436" xr:uid="{9A82FCCF-F57C-4BF1-95CA-A86F46223180}"/>
    <cellStyle name="40% - Accent2 2 8" xfId="2321" xr:uid="{00000000-0005-0000-0000-0000AF040000}"/>
    <cellStyle name="40% - Accent2 2 8 2" xfId="6628" xr:uid="{00000000-0005-0000-0000-0000B0040000}"/>
    <cellStyle name="40% - Accent2 2 8 2 2" xfId="15067" xr:uid="{3F4D9A01-7BE3-4EC9-A193-C7311CE34F66}"/>
    <cellStyle name="40% - Accent2 2 8 3" xfId="10849" xr:uid="{FC7AAFE3-1DE6-4AB6-90BB-0557497278E9}"/>
    <cellStyle name="40% - Accent2 2 9" xfId="4562" xr:uid="{00000000-0005-0000-0000-0000B1040000}"/>
    <cellStyle name="40% - Accent2 2 9 2" xfId="13001" xr:uid="{964416C9-1C6B-445C-B269-107B3C71CA2E}"/>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5565" xr:uid="{4E0C051D-FAAB-4628-A95A-95C75ECD41D4}"/>
    <cellStyle name="40% - Accent2 3 2 2 2 3" xfId="11347" xr:uid="{E3C2DA8C-5EA7-4B17-886A-9486358E213E}"/>
    <cellStyle name="40% - Accent2 3 2 2 3" xfId="4981" xr:uid="{00000000-0005-0000-0000-0000B7040000}"/>
    <cellStyle name="40% - Accent2 3 2 2 3 2" xfId="13420" xr:uid="{914BCD19-289D-43C8-981D-A9831B825F70}"/>
    <cellStyle name="40% - Accent2 3 2 2 4" xfId="9202" xr:uid="{37175D5E-C04C-430E-846D-CCAA381B0263}"/>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15978" xr:uid="{A01A49C6-37BF-41A9-9AA1-E54853B141D9}"/>
    <cellStyle name="40% - Accent2 3 2 3 2 3" xfId="11760" xr:uid="{794B3066-9983-423E-A588-1CA9027B9876}"/>
    <cellStyle name="40% - Accent2 3 2 3 3" xfId="5394" xr:uid="{00000000-0005-0000-0000-0000BB040000}"/>
    <cellStyle name="40% - Accent2 3 2 3 3 2" xfId="13833" xr:uid="{91568D8A-26BE-456C-B5E8-D5F59D63FF0D}"/>
    <cellStyle name="40% - Accent2 3 2 3 4" xfId="9615" xr:uid="{2781B981-6041-4F79-B3A3-B930137E64AA}"/>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16391" xr:uid="{4FC9E9CB-A23A-4E3C-81E4-4D6795528538}"/>
    <cellStyle name="40% - Accent2 3 2 4 2 3" xfId="12173" xr:uid="{09C74932-B60A-4907-A298-14A6C42459BC}"/>
    <cellStyle name="40% - Accent2 3 2 4 3" xfId="5807" xr:uid="{00000000-0005-0000-0000-0000BF040000}"/>
    <cellStyle name="40% - Accent2 3 2 4 3 2" xfId="14246" xr:uid="{8D246D50-5EF1-4FF5-86AF-B51F31C685E1}"/>
    <cellStyle name="40% - Accent2 3 2 4 4" xfId="10028" xr:uid="{055133C7-3AA8-41F6-87B0-D2F714E546CF}"/>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16804" xr:uid="{A24F7650-1843-46A0-8631-2D5E5FCB984D}"/>
    <cellStyle name="40% - Accent2 3 2 5 2 3" xfId="12586" xr:uid="{FA3BC686-4486-4864-8E8C-5128F1910AD3}"/>
    <cellStyle name="40% - Accent2 3 2 5 3" xfId="6220" xr:uid="{00000000-0005-0000-0000-0000C3040000}"/>
    <cellStyle name="40% - Accent2 3 2 5 3 2" xfId="14659" xr:uid="{2B55E668-7BCB-4975-A373-45C431815DF8}"/>
    <cellStyle name="40% - Accent2 3 2 5 4" xfId="10441" xr:uid="{F69FF107-C397-4D55-B79E-E4C1BDDD87E7}"/>
    <cellStyle name="40% - Accent2 3 2 6" xfId="2326" xr:uid="{00000000-0005-0000-0000-0000C4040000}"/>
    <cellStyle name="40% - Accent2 3 2 6 2" xfId="6633" xr:uid="{00000000-0005-0000-0000-0000C5040000}"/>
    <cellStyle name="40% - Accent2 3 2 6 2 2" xfId="15072" xr:uid="{D7C26216-23F1-4424-9C42-1269C1FEC112}"/>
    <cellStyle name="40% - Accent2 3 2 6 3" xfId="10854" xr:uid="{F55B82DF-D61D-4001-BB33-B771E4C885D3}"/>
    <cellStyle name="40% - Accent2 3 2 7" xfId="4567" xr:uid="{00000000-0005-0000-0000-0000C6040000}"/>
    <cellStyle name="40% - Accent2 3 2 7 2" xfId="13006" xr:uid="{A7DEC457-C159-40F4-B1A7-6970AAE5ACEF}"/>
    <cellStyle name="40% - Accent2 3 2 8" xfId="8788" xr:uid="{61A0DB10-9FA1-4A77-9CE5-711B8C557E64}"/>
    <cellStyle name="40% - Accent2 3 3" xfId="631" xr:uid="{00000000-0005-0000-0000-0000C7040000}"/>
    <cellStyle name="40% - Accent2 3 3 2" xfId="2902" xr:uid="{00000000-0005-0000-0000-0000C8040000}"/>
    <cellStyle name="40% - Accent2 3 3 2 2" xfId="7125" xr:uid="{00000000-0005-0000-0000-0000C9040000}"/>
    <cellStyle name="40% - Accent2 3 3 2 2 2" xfId="15564" xr:uid="{85EB98D2-B28A-4D25-85F5-002CF47DF848}"/>
    <cellStyle name="40% - Accent2 3 3 2 3" xfId="11346" xr:uid="{D11DE910-5962-4AAA-9D0E-AF33DF9C2ADE}"/>
    <cellStyle name="40% - Accent2 3 3 3" xfId="4980" xr:uid="{00000000-0005-0000-0000-0000CA040000}"/>
    <cellStyle name="40% - Accent2 3 3 3 2" xfId="13419" xr:uid="{6F084B9E-E986-46B5-AF09-27D9C43D2A47}"/>
    <cellStyle name="40% - Accent2 3 3 4" xfId="9201" xr:uid="{B3DE2761-8FB0-42AD-9595-A9B2077197B7}"/>
    <cellStyle name="40% - Accent2 3 4" xfId="1084" xr:uid="{00000000-0005-0000-0000-0000CB040000}"/>
    <cellStyle name="40% - Accent2 3 4 2" xfId="3315" xr:uid="{00000000-0005-0000-0000-0000CC040000}"/>
    <cellStyle name="40% - Accent2 3 4 2 2" xfId="7538" xr:uid="{00000000-0005-0000-0000-0000CD040000}"/>
    <cellStyle name="40% - Accent2 3 4 2 2 2" xfId="15977" xr:uid="{AC864906-C67F-4775-B21E-26C3F8D23151}"/>
    <cellStyle name="40% - Accent2 3 4 2 3" xfId="11759" xr:uid="{F1641E4B-1289-4986-8DFA-BEC05095B6C7}"/>
    <cellStyle name="40% - Accent2 3 4 3" xfId="5393" xr:uid="{00000000-0005-0000-0000-0000CE040000}"/>
    <cellStyle name="40% - Accent2 3 4 3 2" xfId="13832" xr:uid="{E9625321-9F8F-411A-AB13-AF819AFE782D}"/>
    <cellStyle name="40% - Accent2 3 4 4" xfId="9614" xr:uid="{26C7DA0D-9679-48CE-B146-B4F3933F72C4}"/>
    <cellStyle name="40% - Accent2 3 5" xfId="1498" xr:uid="{00000000-0005-0000-0000-0000CF040000}"/>
    <cellStyle name="40% - Accent2 3 5 2" xfId="3728" xr:uid="{00000000-0005-0000-0000-0000D0040000}"/>
    <cellStyle name="40% - Accent2 3 5 2 2" xfId="7951" xr:uid="{00000000-0005-0000-0000-0000D1040000}"/>
    <cellStyle name="40% - Accent2 3 5 2 2 2" xfId="16390" xr:uid="{D7931DA0-4B3D-45A4-A139-579DD61BFF5C}"/>
    <cellStyle name="40% - Accent2 3 5 2 3" xfId="12172" xr:uid="{48A0CC30-3B94-4820-9A32-8B6B1CCE7D1C}"/>
    <cellStyle name="40% - Accent2 3 5 3" xfId="5806" xr:uid="{00000000-0005-0000-0000-0000D2040000}"/>
    <cellStyle name="40% - Accent2 3 5 3 2" xfId="14245" xr:uid="{E2DBDA1D-39F2-4385-B1F5-7DDC19DD77B9}"/>
    <cellStyle name="40% - Accent2 3 5 4" xfId="10027" xr:uid="{8D886E73-C659-4C82-B570-B209A5EAC591}"/>
    <cellStyle name="40% - Accent2 3 6" xfId="1912" xr:uid="{00000000-0005-0000-0000-0000D3040000}"/>
    <cellStyle name="40% - Accent2 3 6 2" xfId="4141" xr:uid="{00000000-0005-0000-0000-0000D4040000}"/>
    <cellStyle name="40% - Accent2 3 6 2 2" xfId="8364" xr:uid="{00000000-0005-0000-0000-0000D5040000}"/>
    <cellStyle name="40% - Accent2 3 6 2 2 2" xfId="16803" xr:uid="{94221F39-E4B3-4B5E-97A6-61DB5D32E9E8}"/>
    <cellStyle name="40% - Accent2 3 6 2 3" xfId="12585" xr:uid="{38366D14-F02F-48E9-9B1B-9987DB672EEB}"/>
    <cellStyle name="40% - Accent2 3 6 3" xfId="6219" xr:uid="{00000000-0005-0000-0000-0000D6040000}"/>
    <cellStyle name="40% - Accent2 3 6 3 2" xfId="14658" xr:uid="{D61AB638-1BD7-4D8E-8280-CCE67537B75E}"/>
    <cellStyle name="40% - Accent2 3 6 4" xfId="10440" xr:uid="{2376D51A-B173-4915-83C1-FDB65B84518B}"/>
    <cellStyle name="40% - Accent2 3 7" xfId="2325" xr:uid="{00000000-0005-0000-0000-0000D7040000}"/>
    <cellStyle name="40% - Accent2 3 7 2" xfId="6632" xr:uid="{00000000-0005-0000-0000-0000D8040000}"/>
    <cellStyle name="40% - Accent2 3 7 2 2" xfId="15071" xr:uid="{C8BA656E-67B0-4752-8BEE-B6774E0EB5A8}"/>
    <cellStyle name="40% - Accent2 3 7 3" xfId="10853" xr:uid="{3DDEDEAE-06F7-4F92-BBD6-704CB13E7F5F}"/>
    <cellStyle name="40% - Accent2 3 8" xfId="4566" xr:uid="{00000000-0005-0000-0000-0000D9040000}"/>
    <cellStyle name="40% - Accent2 3 8 2" xfId="13005" xr:uid="{CD5FB4AC-8C16-44D8-B40B-0A06B0FBCFE9}"/>
    <cellStyle name="40% - Accent2 3 9" xfId="8787" xr:uid="{133B43EC-AE96-4725-8B7A-282B5665C43F}"/>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15566" xr:uid="{53276F47-8B0E-4B76-8A1D-7F9476BE5820}"/>
    <cellStyle name="40% - Accent2 4 2 2 3" xfId="11348" xr:uid="{32C8CC35-D579-4413-AA02-A28A79113C12}"/>
    <cellStyle name="40% - Accent2 4 2 3" xfId="4982" xr:uid="{00000000-0005-0000-0000-0000DE040000}"/>
    <cellStyle name="40% - Accent2 4 2 3 2" xfId="13421" xr:uid="{1D64F4AC-DE1D-49C2-9CC2-2D89C0F9ED79}"/>
    <cellStyle name="40% - Accent2 4 2 4" xfId="9203" xr:uid="{B09E995D-51FB-4CD6-9E09-08C9054730CC}"/>
    <cellStyle name="40% - Accent2 4 3" xfId="1086" xr:uid="{00000000-0005-0000-0000-0000DF040000}"/>
    <cellStyle name="40% - Accent2 4 3 2" xfId="3317" xr:uid="{00000000-0005-0000-0000-0000E0040000}"/>
    <cellStyle name="40% - Accent2 4 3 2 2" xfId="7540" xr:uid="{00000000-0005-0000-0000-0000E1040000}"/>
    <cellStyle name="40% - Accent2 4 3 2 2 2" xfId="15979" xr:uid="{9FF079D6-FB7F-477E-9398-F4FF4DBFEC6F}"/>
    <cellStyle name="40% - Accent2 4 3 2 3" xfId="11761" xr:uid="{4997B81E-4EC9-4F5E-9F5E-0430E2A28A29}"/>
    <cellStyle name="40% - Accent2 4 3 3" xfId="5395" xr:uid="{00000000-0005-0000-0000-0000E2040000}"/>
    <cellStyle name="40% - Accent2 4 3 3 2" xfId="13834" xr:uid="{370FCC12-9221-4DCF-8C7E-B176DA47D8C2}"/>
    <cellStyle name="40% - Accent2 4 3 4" xfId="9616" xr:uid="{F2F7D689-4720-497A-9E1A-291FAB394F1F}"/>
    <cellStyle name="40% - Accent2 4 4" xfId="1500" xr:uid="{00000000-0005-0000-0000-0000E3040000}"/>
    <cellStyle name="40% - Accent2 4 4 2" xfId="3730" xr:uid="{00000000-0005-0000-0000-0000E4040000}"/>
    <cellStyle name="40% - Accent2 4 4 2 2" xfId="7953" xr:uid="{00000000-0005-0000-0000-0000E5040000}"/>
    <cellStyle name="40% - Accent2 4 4 2 2 2" xfId="16392" xr:uid="{99059E1F-309F-414D-8CC1-D9249F5B88DF}"/>
    <cellStyle name="40% - Accent2 4 4 2 3" xfId="12174" xr:uid="{AF1983BC-D388-4F55-98C6-59CD1EAAB23C}"/>
    <cellStyle name="40% - Accent2 4 4 3" xfId="5808" xr:uid="{00000000-0005-0000-0000-0000E6040000}"/>
    <cellStyle name="40% - Accent2 4 4 3 2" xfId="14247" xr:uid="{BBE89D28-3D95-4687-B94A-8D9B9320F89C}"/>
    <cellStyle name="40% - Accent2 4 4 4" xfId="10029" xr:uid="{EE7CCD41-FD2A-40FE-ACA5-675580E0D35A}"/>
    <cellStyle name="40% - Accent2 4 5" xfId="1914" xr:uid="{00000000-0005-0000-0000-0000E7040000}"/>
    <cellStyle name="40% - Accent2 4 5 2" xfId="4143" xr:uid="{00000000-0005-0000-0000-0000E8040000}"/>
    <cellStyle name="40% - Accent2 4 5 2 2" xfId="8366" xr:uid="{00000000-0005-0000-0000-0000E9040000}"/>
    <cellStyle name="40% - Accent2 4 5 2 2 2" xfId="16805" xr:uid="{B6667339-DCF4-46F5-9586-B8B9FC68654B}"/>
    <cellStyle name="40% - Accent2 4 5 2 3" xfId="12587" xr:uid="{150609A1-6645-45C7-A084-64F2D3AEE17B}"/>
    <cellStyle name="40% - Accent2 4 5 3" xfId="6221" xr:uid="{00000000-0005-0000-0000-0000EA040000}"/>
    <cellStyle name="40% - Accent2 4 5 3 2" xfId="14660" xr:uid="{D3D5AB9B-FA52-4480-8E33-E5DB0093826E}"/>
    <cellStyle name="40% - Accent2 4 5 4" xfId="10442" xr:uid="{C410F67C-9C21-4093-A732-82766DFA3F4C}"/>
    <cellStyle name="40% - Accent2 4 6" xfId="2327" xr:uid="{00000000-0005-0000-0000-0000EB040000}"/>
    <cellStyle name="40% - Accent2 4 6 2" xfId="6634" xr:uid="{00000000-0005-0000-0000-0000EC040000}"/>
    <cellStyle name="40% - Accent2 4 6 2 2" xfId="15073" xr:uid="{E0EC2A27-FB32-4362-8B15-04C158F3F95E}"/>
    <cellStyle name="40% - Accent2 4 6 3" xfId="10855" xr:uid="{CDED97AA-2F89-4C12-A3C0-4841CFA5D8B3}"/>
    <cellStyle name="40% - Accent2 4 7" xfId="4568" xr:uid="{00000000-0005-0000-0000-0000ED040000}"/>
    <cellStyle name="40% - Accent2 4 7 2" xfId="13007" xr:uid="{E14E4F25-004E-45D9-BD17-8443C3394888}"/>
    <cellStyle name="40% - Accent2 4 8" xfId="8789" xr:uid="{B5293DC0-46B4-48CD-8A00-C6891711098B}"/>
    <cellStyle name="40% - Accent2 5" xfId="626" xr:uid="{00000000-0005-0000-0000-0000EE040000}"/>
    <cellStyle name="40% - Accent2 5 2" xfId="2897" xr:uid="{00000000-0005-0000-0000-0000EF040000}"/>
    <cellStyle name="40% - Accent2 5 2 2" xfId="7120" xr:uid="{00000000-0005-0000-0000-0000F0040000}"/>
    <cellStyle name="40% - Accent2 5 2 2 2" xfId="15559" xr:uid="{EBB62CF4-530F-43B3-8120-E46540C76BEE}"/>
    <cellStyle name="40% - Accent2 5 2 3" xfId="11341" xr:uid="{D68387E8-191E-4F03-B0DF-EFE9FDABB53E}"/>
    <cellStyle name="40% - Accent2 5 3" xfId="4975" xr:uid="{00000000-0005-0000-0000-0000F1040000}"/>
    <cellStyle name="40% - Accent2 5 3 2" xfId="13414" xr:uid="{A0734B30-0D5E-4AF1-9AE7-223E62FA8390}"/>
    <cellStyle name="40% - Accent2 5 4" xfId="9196" xr:uid="{67AF134D-974A-42EF-B142-30C248ACD74B}"/>
    <cellStyle name="40% - Accent2 6" xfId="1079" xr:uid="{00000000-0005-0000-0000-0000F2040000}"/>
    <cellStyle name="40% - Accent2 6 2" xfId="3310" xr:uid="{00000000-0005-0000-0000-0000F3040000}"/>
    <cellStyle name="40% - Accent2 6 2 2" xfId="7533" xr:uid="{00000000-0005-0000-0000-0000F4040000}"/>
    <cellStyle name="40% - Accent2 6 2 2 2" xfId="15972" xr:uid="{1ECE189C-8252-4D41-93EE-9C0BF131F56F}"/>
    <cellStyle name="40% - Accent2 6 2 3" xfId="11754" xr:uid="{48A75887-03B3-4934-886D-FD5698A0670B}"/>
    <cellStyle name="40% - Accent2 6 3" xfId="5388" xr:uid="{00000000-0005-0000-0000-0000F5040000}"/>
    <cellStyle name="40% - Accent2 6 3 2" xfId="13827" xr:uid="{D400BDD6-0D2A-449D-8741-01AC58D0F9F5}"/>
    <cellStyle name="40% - Accent2 6 4" xfId="9609" xr:uid="{23E242E2-4E57-4A74-BC2E-576D4046FC35}"/>
    <cellStyle name="40% - Accent2 7" xfId="1493" xr:uid="{00000000-0005-0000-0000-0000F6040000}"/>
    <cellStyle name="40% - Accent2 7 2" xfId="3723" xr:uid="{00000000-0005-0000-0000-0000F7040000}"/>
    <cellStyle name="40% - Accent2 7 2 2" xfId="7946" xr:uid="{00000000-0005-0000-0000-0000F8040000}"/>
    <cellStyle name="40% - Accent2 7 2 2 2" xfId="16385" xr:uid="{5AFB6C5E-F535-4F54-9A62-230F26C9CD45}"/>
    <cellStyle name="40% - Accent2 7 2 3" xfId="12167" xr:uid="{080555DF-D962-419B-AE58-0B04ED4FFEA0}"/>
    <cellStyle name="40% - Accent2 7 3" xfId="5801" xr:uid="{00000000-0005-0000-0000-0000F9040000}"/>
    <cellStyle name="40% - Accent2 7 3 2" xfId="14240" xr:uid="{0307F5C0-D731-4CD3-8673-59D08E8F0AB7}"/>
    <cellStyle name="40% - Accent2 7 4" xfId="10022" xr:uid="{CABAC08E-B3D2-414E-B838-5F6D5F7BB85B}"/>
    <cellStyle name="40% - Accent2 8" xfId="1907" xr:uid="{00000000-0005-0000-0000-0000FA040000}"/>
    <cellStyle name="40% - Accent2 8 2" xfId="4136" xr:uid="{00000000-0005-0000-0000-0000FB040000}"/>
    <cellStyle name="40% - Accent2 8 2 2" xfId="8359" xr:uid="{00000000-0005-0000-0000-0000FC040000}"/>
    <cellStyle name="40% - Accent2 8 2 2 2" xfId="16798" xr:uid="{F768E21D-78DD-48EA-8DEF-E991F133E15F}"/>
    <cellStyle name="40% - Accent2 8 2 3" xfId="12580" xr:uid="{F48FFEB8-45A5-4B22-B665-5301D0478ED4}"/>
    <cellStyle name="40% - Accent2 8 3" xfId="6214" xr:uid="{00000000-0005-0000-0000-0000FD040000}"/>
    <cellStyle name="40% - Accent2 8 3 2" xfId="14653" xr:uid="{47B4553C-69E9-42F9-9EAE-F12B43BDDF18}"/>
    <cellStyle name="40% - Accent2 8 4" xfId="10435" xr:uid="{277BC42D-0C73-4F12-BAFD-78E9915FB2B5}"/>
    <cellStyle name="40% - Accent2 9" xfId="2320" xr:uid="{00000000-0005-0000-0000-0000FE040000}"/>
    <cellStyle name="40% - Accent2 9 2" xfId="6627" xr:uid="{00000000-0005-0000-0000-0000FF040000}"/>
    <cellStyle name="40% - Accent2 9 2 2" xfId="15066" xr:uid="{F4098251-7801-45BD-941E-6DEE7E8B5B14}"/>
    <cellStyle name="40% - Accent2 9 3" xfId="10848" xr:uid="{735965D1-ED17-432F-9E0A-23162083802A}"/>
    <cellStyle name="40% - Accent3" xfId="65" builtinId="39" customBuiltin="1"/>
    <cellStyle name="40% - Accent3 10" xfId="4569" xr:uid="{00000000-0005-0000-0000-000001050000}"/>
    <cellStyle name="40% - Accent3 10 2" xfId="13008" xr:uid="{7D18C89A-801E-4FB5-A17A-2A36D7C79AB0}"/>
    <cellStyle name="40% - Accent3 11" xfId="8790" xr:uid="{2F545181-A63F-4749-904E-AFEC2DB969A3}"/>
    <cellStyle name="40% - Accent3 2" xfId="66" xr:uid="{00000000-0005-0000-0000-000002050000}"/>
    <cellStyle name="40% - Accent3 2 10" xfId="8791" xr:uid="{84F06538-AE8D-4638-8BED-86BF82BF313E}"/>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5570" xr:uid="{8856182E-1DCB-45DB-93DE-D27533461402}"/>
    <cellStyle name="40% - Accent3 2 2 2 2 2 3" xfId="11352" xr:uid="{713EC212-6ECD-4F7E-A74E-0D2B58212D8F}"/>
    <cellStyle name="40% - Accent3 2 2 2 2 3" xfId="4986" xr:uid="{00000000-0005-0000-0000-000008050000}"/>
    <cellStyle name="40% - Accent3 2 2 2 2 3 2" xfId="13425" xr:uid="{AB62B18C-3F20-4F14-AD0B-2EF6FE0786C4}"/>
    <cellStyle name="40% - Accent3 2 2 2 2 4" xfId="9207" xr:uid="{1AA930F9-90F0-47F1-BD6A-270D0D219165}"/>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15983" xr:uid="{128F5194-3116-47F0-8190-165AEA5B5FE5}"/>
    <cellStyle name="40% - Accent3 2 2 2 3 2 3" xfId="11765" xr:uid="{D7B55251-0B91-4FA9-9CBE-305C59AB32C5}"/>
    <cellStyle name="40% - Accent3 2 2 2 3 3" xfId="5399" xr:uid="{00000000-0005-0000-0000-00000C050000}"/>
    <cellStyle name="40% - Accent3 2 2 2 3 3 2" xfId="13838" xr:uid="{D714B6F8-86D0-4630-A841-E3BBE95D1ABA}"/>
    <cellStyle name="40% - Accent3 2 2 2 3 4" xfId="9620" xr:uid="{06707CA2-658A-407B-91E5-C855228B134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16396" xr:uid="{BB7E4116-465E-412D-B7B7-FB626D0E2CFC}"/>
    <cellStyle name="40% - Accent3 2 2 2 4 2 3" xfId="12178" xr:uid="{B5508882-C0FB-40AA-9054-ABAD0C6036E5}"/>
    <cellStyle name="40% - Accent3 2 2 2 4 3" xfId="5812" xr:uid="{00000000-0005-0000-0000-000010050000}"/>
    <cellStyle name="40% - Accent3 2 2 2 4 3 2" xfId="14251" xr:uid="{8262F5FF-9572-4DAD-8CF3-259B17BCFA0D}"/>
    <cellStyle name="40% - Accent3 2 2 2 4 4" xfId="10033" xr:uid="{7A84F610-3CDD-4A53-AA6F-CA04792223B3}"/>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16809" xr:uid="{8C1B2062-048B-419F-AAE1-75F5326BB890}"/>
    <cellStyle name="40% - Accent3 2 2 2 5 2 3" xfId="12591" xr:uid="{093AF8D1-C136-4AE7-95E0-0176E0BF0DB2}"/>
    <cellStyle name="40% - Accent3 2 2 2 5 3" xfId="6225" xr:uid="{00000000-0005-0000-0000-000014050000}"/>
    <cellStyle name="40% - Accent3 2 2 2 5 3 2" xfId="14664" xr:uid="{A4B863E2-F71E-4047-898F-33493BA916CE}"/>
    <cellStyle name="40% - Accent3 2 2 2 5 4" xfId="10446" xr:uid="{60BB602B-F3D3-4311-A843-DD9A764343CE}"/>
    <cellStyle name="40% - Accent3 2 2 2 6" xfId="2331" xr:uid="{00000000-0005-0000-0000-000015050000}"/>
    <cellStyle name="40% - Accent3 2 2 2 6 2" xfId="6638" xr:uid="{00000000-0005-0000-0000-000016050000}"/>
    <cellStyle name="40% - Accent3 2 2 2 6 2 2" xfId="15077" xr:uid="{5EFB07B3-7831-40B2-AA2B-478DF3A77467}"/>
    <cellStyle name="40% - Accent3 2 2 2 6 3" xfId="10859" xr:uid="{5946975B-CEA7-4364-830B-EC38422E8F22}"/>
    <cellStyle name="40% - Accent3 2 2 2 7" xfId="4572" xr:uid="{00000000-0005-0000-0000-000017050000}"/>
    <cellStyle name="40% - Accent3 2 2 2 7 2" xfId="13011" xr:uid="{90C80074-ED07-4A8D-8A95-176B55B1BFA6}"/>
    <cellStyle name="40% - Accent3 2 2 2 8" xfId="8793" xr:uid="{0CB21CEE-545E-47E7-AA30-6FA81616FC17}"/>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5569" xr:uid="{326511D8-7B25-43F5-BDDF-9D52E1E570FB}"/>
    <cellStyle name="40% - Accent3 2 2 3 2 3" xfId="11351" xr:uid="{718E5EF8-BD02-4BB7-83ED-F6DED8449CA3}"/>
    <cellStyle name="40% - Accent3 2 2 3 3" xfId="4985" xr:uid="{00000000-0005-0000-0000-00001B050000}"/>
    <cellStyle name="40% - Accent3 2 2 3 3 2" xfId="13424" xr:uid="{0563F6AA-84AC-4B8E-9EB5-EC01CAF80C22}"/>
    <cellStyle name="40% - Accent3 2 2 3 4" xfId="9206" xr:uid="{72F6D13A-138F-44B1-982B-D380A3CD7C8C}"/>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15982" xr:uid="{5019D17F-C40E-490A-8151-3BDB8B321E9F}"/>
    <cellStyle name="40% - Accent3 2 2 4 2 3" xfId="11764" xr:uid="{06E1E749-D069-4836-AB3E-6A2738B5166C}"/>
    <cellStyle name="40% - Accent3 2 2 4 3" xfId="5398" xr:uid="{00000000-0005-0000-0000-00001F050000}"/>
    <cellStyle name="40% - Accent3 2 2 4 3 2" xfId="13837" xr:uid="{0E591A36-D0EE-4763-A923-01A7C245F60E}"/>
    <cellStyle name="40% - Accent3 2 2 4 4" xfId="9619" xr:uid="{DAEEE866-D5E4-4ECF-B76A-4F66A7CA0AFB}"/>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16395" xr:uid="{3FF55756-F471-4287-9131-E570FCCDA2F3}"/>
    <cellStyle name="40% - Accent3 2 2 5 2 3" xfId="12177" xr:uid="{AB9A4AA3-D89B-426C-AB69-48FBBB8A8FF8}"/>
    <cellStyle name="40% - Accent3 2 2 5 3" xfId="5811" xr:uid="{00000000-0005-0000-0000-000023050000}"/>
    <cellStyle name="40% - Accent3 2 2 5 3 2" xfId="14250" xr:uid="{11CB8E17-E4CC-4647-B6E5-DCE1821B54AC}"/>
    <cellStyle name="40% - Accent3 2 2 5 4" xfId="10032" xr:uid="{EF6C3788-2364-46C4-926C-E509332CB6BA}"/>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16808" xr:uid="{2893E848-F8BC-46E1-A9CD-2BA611EA5C02}"/>
    <cellStyle name="40% - Accent3 2 2 6 2 3" xfId="12590" xr:uid="{F010EDE3-E350-43CF-8548-4C31DD2424D7}"/>
    <cellStyle name="40% - Accent3 2 2 6 3" xfId="6224" xr:uid="{00000000-0005-0000-0000-000027050000}"/>
    <cellStyle name="40% - Accent3 2 2 6 3 2" xfId="14663" xr:uid="{BE551011-960F-4291-BC5F-2503C7950E72}"/>
    <cellStyle name="40% - Accent3 2 2 6 4" xfId="10445" xr:uid="{77CCDD96-6F50-4098-857A-249C6EFDCCA2}"/>
    <cellStyle name="40% - Accent3 2 2 7" xfId="2330" xr:uid="{00000000-0005-0000-0000-000028050000}"/>
    <cellStyle name="40% - Accent3 2 2 7 2" xfId="6637" xr:uid="{00000000-0005-0000-0000-000029050000}"/>
    <cellStyle name="40% - Accent3 2 2 7 2 2" xfId="15076" xr:uid="{2395C3EE-9A2E-4A06-847A-D9D60E218105}"/>
    <cellStyle name="40% - Accent3 2 2 7 3" xfId="10858" xr:uid="{480872CA-7874-4335-B789-757B73D7B240}"/>
    <cellStyle name="40% - Accent3 2 2 8" xfId="4571" xr:uid="{00000000-0005-0000-0000-00002A050000}"/>
    <cellStyle name="40% - Accent3 2 2 8 2" xfId="13010" xr:uid="{713F91A4-ED01-4FC3-8C37-D96FCAF72047}"/>
    <cellStyle name="40% - Accent3 2 2 9" xfId="8792" xr:uid="{B150F8F8-3C7D-4A17-BB6D-91E08DBD598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5571" xr:uid="{BDE70536-5C6A-491C-A562-4699B5B50105}"/>
    <cellStyle name="40% - Accent3 2 3 2 2 3" xfId="11353" xr:uid="{78A0CBA6-5026-4A3E-B22F-6675FDE33787}"/>
    <cellStyle name="40% - Accent3 2 3 2 3" xfId="4987" xr:uid="{00000000-0005-0000-0000-00002F050000}"/>
    <cellStyle name="40% - Accent3 2 3 2 3 2" xfId="13426" xr:uid="{838C99F5-3432-46A9-90BD-0B27A5D7AB02}"/>
    <cellStyle name="40% - Accent3 2 3 2 4" xfId="9208" xr:uid="{57CAF801-1568-4619-9346-54EE0A796C80}"/>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15984" xr:uid="{EAE02611-D11A-421F-A43A-F50BF7B7E01A}"/>
    <cellStyle name="40% - Accent3 2 3 3 2 3" xfId="11766" xr:uid="{335A9144-3F08-41FD-A2A2-9A4771A60802}"/>
    <cellStyle name="40% - Accent3 2 3 3 3" xfId="5400" xr:uid="{00000000-0005-0000-0000-000033050000}"/>
    <cellStyle name="40% - Accent3 2 3 3 3 2" xfId="13839" xr:uid="{B50EE5F0-8C83-48D6-AAD3-A15D699F8C97}"/>
    <cellStyle name="40% - Accent3 2 3 3 4" xfId="9621" xr:uid="{50E0BFDB-AEAF-4391-84A6-B3C390F64379}"/>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16397" xr:uid="{8D1822F5-420D-4D9A-9E83-BA7410ED87C9}"/>
    <cellStyle name="40% - Accent3 2 3 4 2 3" xfId="12179" xr:uid="{68F1399B-5EE0-404F-992F-C512B59736FB}"/>
    <cellStyle name="40% - Accent3 2 3 4 3" xfId="5813" xr:uid="{00000000-0005-0000-0000-000037050000}"/>
    <cellStyle name="40% - Accent3 2 3 4 3 2" xfId="14252" xr:uid="{0FCA0CA3-44F3-4AF4-B264-65ACE0C6BCF7}"/>
    <cellStyle name="40% - Accent3 2 3 4 4" xfId="10034" xr:uid="{76B899CF-D125-43D4-BA12-CDA5BF77DE43}"/>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16810" xr:uid="{AE96701C-BDFC-4C0E-BB76-30AF8ABB3DD3}"/>
    <cellStyle name="40% - Accent3 2 3 5 2 3" xfId="12592" xr:uid="{BEF91B46-50CB-4193-A3F5-CB012BD93FFE}"/>
    <cellStyle name="40% - Accent3 2 3 5 3" xfId="6226" xr:uid="{00000000-0005-0000-0000-00003B050000}"/>
    <cellStyle name="40% - Accent3 2 3 5 3 2" xfId="14665" xr:uid="{2893435C-49B7-441B-89E6-27E1CD33C264}"/>
    <cellStyle name="40% - Accent3 2 3 5 4" xfId="10447" xr:uid="{26017549-A27B-4B30-AF1B-1D03508D136F}"/>
    <cellStyle name="40% - Accent3 2 3 6" xfId="2332" xr:uid="{00000000-0005-0000-0000-00003C050000}"/>
    <cellStyle name="40% - Accent3 2 3 6 2" xfId="6639" xr:uid="{00000000-0005-0000-0000-00003D050000}"/>
    <cellStyle name="40% - Accent3 2 3 6 2 2" xfId="15078" xr:uid="{A9818654-6FF3-40BC-A43E-6F8E66AEBA23}"/>
    <cellStyle name="40% - Accent3 2 3 6 3" xfId="10860" xr:uid="{EFBB9DC6-30A7-4BA9-88A3-DC9932F84242}"/>
    <cellStyle name="40% - Accent3 2 3 7" xfId="4573" xr:uid="{00000000-0005-0000-0000-00003E050000}"/>
    <cellStyle name="40% - Accent3 2 3 7 2" xfId="13012" xr:uid="{DDA0328A-522E-4E4B-8AB3-FE7AB788DDC8}"/>
    <cellStyle name="40% - Accent3 2 3 8" xfId="8794" xr:uid="{6D9C745D-B27C-4192-8A2F-508E92B81C00}"/>
    <cellStyle name="40% - Accent3 2 4" xfId="635" xr:uid="{00000000-0005-0000-0000-00003F050000}"/>
    <cellStyle name="40% - Accent3 2 4 2" xfId="2906" xr:uid="{00000000-0005-0000-0000-000040050000}"/>
    <cellStyle name="40% - Accent3 2 4 2 2" xfId="7129" xr:uid="{00000000-0005-0000-0000-000041050000}"/>
    <cellStyle name="40% - Accent3 2 4 2 2 2" xfId="15568" xr:uid="{AB7434FB-A994-47BA-A952-5107FEC40AC7}"/>
    <cellStyle name="40% - Accent3 2 4 2 3" xfId="11350" xr:uid="{19F777B3-99B8-44D2-AE91-E8D83DC4F6C5}"/>
    <cellStyle name="40% - Accent3 2 4 3" xfId="4984" xr:uid="{00000000-0005-0000-0000-000042050000}"/>
    <cellStyle name="40% - Accent3 2 4 3 2" xfId="13423" xr:uid="{60A2053E-1C28-4CEB-81BF-3A6E4F781B9C}"/>
    <cellStyle name="40% - Accent3 2 4 4" xfId="9205" xr:uid="{A55621E6-74B8-42B9-9AB6-E195B577C542}"/>
    <cellStyle name="40% - Accent3 2 5" xfId="1088" xr:uid="{00000000-0005-0000-0000-000043050000}"/>
    <cellStyle name="40% - Accent3 2 5 2" xfId="3319" xr:uid="{00000000-0005-0000-0000-000044050000}"/>
    <cellStyle name="40% - Accent3 2 5 2 2" xfId="7542" xr:uid="{00000000-0005-0000-0000-000045050000}"/>
    <cellStyle name="40% - Accent3 2 5 2 2 2" xfId="15981" xr:uid="{AB7996CB-39C3-46C1-BA10-0D8AF1124ECB}"/>
    <cellStyle name="40% - Accent3 2 5 2 3" xfId="11763" xr:uid="{E0FB32F7-DBB1-47C3-AC0C-6332E6F01FDC}"/>
    <cellStyle name="40% - Accent3 2 5 3" xfId="5397" xr:uid="{00000000-0005-0000-0000-000046050000}"/>
    <cellStyle name="40% - Accent3 2 5 3 2" xfId="13836" xr:uid="{C25196E1-14B9-4AEE-90AF-CF4E55BA6617}"/>
    <cellStyle name="40% - Accent3 2 5 4" xfId="9618" xr:uid="{D47B4D2E-A869-4404-8B5B-5326EF539979}"/>
    <cellStyle name="40% - Accent3 2 6" xfId="1502" xr:uid="{00000000-0005-0000-0000-000047050000}"/>
    <cellStyle name="40% - Accent3 2 6 2" xfId="3732" xr:uid="{00000000-0005-0000-0000-000048050000}"/>
    <cellStyle name="40% - Accent3 2 6 2 2" xfId="7955" xr:uid="{00000000-0005-0000-0000-000049050000}"/>
    <cellStyle name="40% - Accent3 2 6 2 2 2" xfId="16394" xr:uid="{CA5FDED7-21ED-4C7D-B218-22E32BFFF8DD}"/>
    <cellStyle name="40% - Accent3 2 6 2 3" xfId="12176" xr:uid="{CC02D8D1-8811-4560-AE4B-D77EF412FE40}"/>
    <cellStyle name="40% - Accent3 2 6 3" xfId="5810" xr:uid="{00000000-0005-0000-0000-00004A050000}"/>
    <cellStyle name="40% - Accent3 2 6 3 2" xfId="14249" xr:uid="{83E2163E-36F1-4C2A-ACDE-48E89B74A105}"/>
    <cellStyle name="40% - Accent3 2 6 4" xfId="10031" xr:uid="{400130F1-9C82-4059-AFEC-9004352056D9}"/>
    <cellStyle name="40% - Accent3 2 7" xfId="1916" xr:uid="{00000000-0005-0000-0000-00004B050000}"/>
    <cellStyle name="40% - Accent3 2 7 2" xfId="4145" xr:uid="{00000000-0005-0000-0000-00004C050000}"/>
    <cellStyle name="40% - Accent3 2 7 2 2" xfId="8368" xr:uid="{00000000-0005-0000-0000-00004D050000}"/>
    <cellStyle name="40% - Accent3 2 7 2 2 2" xfId="16807" xr:uid="{96D0524A-CA05-4BCC-851D-2AEEB62A52B8}"/>
    <cellStyle name="40% - Accent3 2 7 2 3" xfId="12589" xr:uid="{8CCDF4E6-71BE-4E71-91BD-ACE519C7E6BA}"/>
    <cellStyle name="40% - Accent3 2 7 3" xfId="6223" xr:uid="{00000000-0005-0000-0000-00004E050000}"/>
    <cellStyle name="40% - Accent3 2 7 3 2" xfId="14662" xr:uid="{4F479FFE-938D-4689-A299-CD97B20CDD09}"/>
    <cellStyle name="40% - Accent3 2 7 4" xfId="10444" xr:uid="{3D16D5EC-14FA-42B9-995E-2E3E2FD6AD8E}"/>
    <cellStyle name="40% - Accent3 2 8" xfId="2329" xr:uid="{00000000-0005-0000-0000-00004F050000}"/>
    <cellStyle name="40% - Accent3 2 8 2" xfId="6636" xr:uid="{00000000-0005-0000-0000-000050050000}"/>
    <cellStyle name="40% - Accent3 2 8 2 2" xfId="15075" xr:uid="{94B00CF4-4510-4305-959B-2D0DA5D9CB38}"/>
    <cellStyle name="40% - Accent3 2 8 3" xfId="10857" xr:uid="{3E7E1EAB-73F4-44BC-BCF2-B968312F2EC4}"/>
    <cellStyle name="40% - Accent3 2 9" xfId="4570" xr:uid="{00000000-0005-0000-0000-000051050000}"/>
    <cellStyle name="40% - Accent3 2 9 2" xfId="13009" xr:uid="{E8778878-DC6D-49E6-8A9E-8EDF446A98BD}"/>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5573" xr:uid="{402A28BD-8753-4C17-A955-68F074A841EC}"/>
    <cellStyle name="40% - Accent3 3 2 2 2 3" xfId="11355" xr:uid="{E194ECA1-9D58-494D-A09F-506FFCC99527}"/>
    <cellStyle name="40% - Accent3 3 2 2 3" xfId="4989" xr:uid="{00000000-0005-0000-0000-000057050000}"/>
    <cellStyle name="40% - Accent3 3 2 2 3 2" xfId="13428" xr:uid="{E1463CEF-E7DA-4BE1-8409-0C6EB5160075}"/>
    <cellStyle name="40% - Accent3 3 2 2 4" xfId="9210" xr:uid="{A2F64187-1C03-4E00-8773-CCC19455F16B}"/>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15986" xr:uid="{3C50F8D0-C68F-48C7-A923-D2C3CF60E093}"/>
    <cellStyle name="40% - Accent3 3 2 3 2 3" xfId="11768" xr:uid="{A8C0ED67-C1D0-44CE-9951-803B4C322FC9}"/>
    <cellStyle name="40% - Accent3 3 2 3 3" xfId="5402" xr:uid="{00000000-0005-0000-0000-00005B050000}"/>
    <cellStyle name="40% - Accent3 3 2 3 3 2" xfId="13841" xr:uid="{34DBF338-F55C-4A15-8F50-008815F12BF5}"/>
    <cellStyle name="40% - Accent3 3 2 3 4" xfId="9623" xr:uid="{0D73DDB8-3501-4311-94BA-68EA49AFC343}"/>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16399" xr:uid="{837DC335-C5F6-4D92-BEA0-325049D8F50D}"/>
    <cellStyle name="40% - Accent3 3 2 4 2 3" xfId="12181" xr:uid="{F4FB17AB-D60C-4D3A-B036-1C98432AF081}"/>
    <cellStyle name="40% - Accent3 3 2 4 3" xfId="5815" xr:uid="{00000000-0005-0000-0000-00005F050000}"/>
    <cellStyle name="40% - Accent3 3 2 4 3 2" xfId="14254" xr:uid="{A15FAD0B-A763-4D87-8253-FF02A94AC34D}"/>
    <cellStyle name="40% - Accent3 3 2 4 4" xfId="10036" xr:uid="{4E3056F9-9C3E-412C-AF58-7A351D2FFB11}"/>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16812" xr:uid="{CD776BE8-9AD1-4295-A1CC-CC93BACEBC16}"/>
    <cellStyle name="40% - Accent3 3 2 5 2 3" xfId="12594" xr:uid="{F52403F9-A9C3-47B2-AFA9-C82B632443C5}"/>
    <cellStyle name="40% - Accent3 3 2 5 3" xfId="6228" xr:uid="{00000000-0005-0000-0000-000063050000}"/>
    <cellStyle name="40% - Accent3 3 2 5 3 2" xfId="14667" xr:uid="{998A2238-3A2A-4467-A692-29636C689440}"/>
    <cellStyle name="40% - Accent3 3 2 5 4" xfId="10449" xr:uid="{E81268D2-41D1-498C-9F14-C550BB8DEB80}"/>
    <cellStyle name="40% - Accent3 3 2 6" xfId="2334" xr:uid="{00000000-0005-0000-0000-000064050000}"/>
    <cellStyle name="40% - Accent3 3 2 6 2" xfId="6641" xr:uid="{00000000-0005-0000-0000-000065050000}"/>
    <cellStyle name="40% - Accent3 3 2 6 2 2" xfId="15080" xr:uid="{FF13C6D0-4819-43AB-8868-16CECDEBE31F}"/>
    <cellStyle name="40% - Accent3 3 2 6 3" xfId="10862" xr:uid="{3B741CF3-AEB2-4FAF-877B-9FC93181F181}"/>
    <cellStyle name="40% - Accent3 3 2 7" xfId="4575" xr:uid="{00000000-0005-0000-0000-000066050000}"/>
    <cellStyle name="40% - Accent3 3 2 7 2" xfId="13014" xr:uid="{4136AFAC-A14A-482D-9BC3-DD4C8E82B121}"/>
    <cellStyle name="40% - Accent3 3 2 8" xfId="8796" xr:uid="{7DF324B4-4D88-4FC2-AA7F-0F55AD32E6B7}"/>
    <cellStyle name="40% - Accent3 3 3" xfId="639" xr:uid="{00000000-0005-0000-0000-000067050000}"/>
    <cellStyle name="40% - Accent3 3 3 2" xfId="2910" xr:uid="{00000000-0005-0000-0000-000068050000}"/>
    <cellStyle name="40% - Accent3 3 3 2 2" xfId="7133" xr:uid="{00000000-0005-0000-0000-000069050000}"/>
    <cellStyle name="40% - Accent3 3 3 2 2 2" xfId="15572" xr:uid="{9F7CE3FD-B613-4CE3-BF67-249ECAC9FE77}"/>
    <cellStyle name="40% - Accent3 3 3 2 3" xfId="11354" xr:uid="{10FB3C27-424A-4663-8470-DF73BEDBB56C}"/>
    <cellStyle name="40% - Accent3 3 3 3" xfId="4988" xr:uid="{00000000-0005-0000-0000-00006A050000}"/>
    <cellStyle name="40% - Accent3 3 3 3 2" xfId="13427" xr:uid="{7CF7FD25-28C5-419B-B35D-1623A361BB2C}"/>
    <cellStyle name="40% - Accent3 3 3 4" xfId="9209" xr:uid="{D2BC3B2A-7E0C-4D41-B79A-50F8B8BA9ECB}"/>
    <cellStyle name="40% - Accent3 3 4" xfId="1092" xr:uid="{00000000-0005-0000-0000-00006B050000}"/>
    <cellStyle name="40% - Accent3 3 4 2" xfId="3323" xr:uid="{00000000-0005-0000-0000-00006C050000}"/>
    <cellStyle name="40% - Accent3 3 4 2 2" xfId="7546" xr:uid="{00000000-0005-0000-0000-00006D050000}"/>
    <cellStyle name="40% - Accent3 3 4 2 2 2" xfId="15985" xr:uid="{5D941217-1192-469B-B9E4-4E591BB8030E}"/>
    <cellStyle name="40% - Accent3 3 4 2 3" xfId="11767" xr:uid="{425E93B1-222A-4C70-B0C4-E8B1AA929524}"/>
    <cellStyle name="40% - Accent3 3 4 3" xfId="5401" xr:uid="{00000000-0005-0000-0000-00006E050000}"/>
    <cellStyle name="40% - Accent3 3 4 3 2" xfId="13840" xr:uid="{53CF1BDC-0C5F-45D8-BAC7-BFAA8EE7AF2D}"/>
    <cellStyle name="40% - Accent3 3 4 4" xfId="9622" xr:uid="{CDD4FC31-920B-4670-927B-8A7B9366F49C}"/>
    <cellStyle name="40% - Accent3 3 5" xfId="1506" xr:uid="{00000000-0005-0000-0000-00006F050000}"/>
    <cellStyle name="40% - Accent3 3 5 2" xfId="3736" xr:uid="{00000000-0005-0000-0000-000070050000}"/>
    <cellStyle name="40% - Accent3 3 5 2 2" xfId="7959" xr:uid="{00000000-0005-0000-0000-000071050000}"/>
    <cellStyle name="40% - Accent3 3 5 2 2 2" xfId="16398" xr:uid="{7D5BA5B2-22FE-498C-964C-925C304444CA}"/>
    <cellStyle name="40% - Accent3 3 5 2 3" xfId="12180" xr:uid="{4BCEC3AE-D4AA-4925-B826-7E1DDBCB437B}"/>
    <cellStyle name="40% - Accent3 3 5 3" xfId="5814" xr:uid="{00000000-0005-0000-0000-000072050000}"/>
    <cellStyle name="40% - Accent3 3 5 3 2" xfId="14253" xr:uid="{81E2D904-7DF6-46D8-89DD-6FD03F03D7FD}"/>
    <cellStyle name="40% - Accent3 3 5 4" xfId="10035" xr:uid="{397C7F49-4920-4E5F-8619-BBD46DB92748}"/>
    <cellStyle name="40% - Accent3 3 6" xfId="1920" xr:uid="{00000000-0005-0000-0000-000073050000}"/>
    <cellStyle name="40% - Accent3 3 6 2" xfId="4149" xr:uid="{00000000-0005-0000-0000-000074050000}"/>
    <cellStyle name="40% - Accent3 3 6 2 2" xfId="8372" xr:uid="{00000000-0005-0000-0000-000075050000}"/>
    <cellStyle name="40% - Accent3 3 6 2 2 2" xfId="16811" xr:uid="{19B844CE-2F8D-4485-AA1B-34CBDAC2866A}"/>
    <cellStyle name="40% - Accent3 3 6 2 3" xfId="12593" xr:uid="{0AA126C8-0D26-4B27-97B7-08B6E46C8F88}"/>
    <cellStyle name="40% - Accent3 3 6 3" xfId="6227" xr:uid="{00000000-0005-0000-0000-000076050000}"/>
    <cellStyle name="40% - Accent3 3 6 3 2" xfId="14666" xr:uid="{5892B66E-30A2-482B-B0B5-9BB3830B8F59}"/>
    <cellStyle name="40% - Accent3 3 6 4" xfId="10448" xr:uid="{5B7C678B-EFEB-4D73-827B-F6587DA001CD}"/>
    <cellStyle name="40% - Accent3 3 7" xfId="2333" xr:uid="{00000000-0005-0000-0000-000077050000}"/>
    <cellStyle name="40% - Accent3 3 7 2" xfId="6640" xr:uid="{00000000-0005-0000-0000-000078050000}"/>
    <cellStyle name="40% - Accent3 3 7 2 2" xfId="15079" xr:uid="{73FBBB6D-E0DC-4796-B152-527D9505022C}"/>
    <cellStyle name="40% - Accent3 3 7 3" xfId="10861" xr:uid="{E38A47DC-64D9-4453-B7AB-0B55902CC0DC}"/>
    <cellStyle name="40% - Accent3 3 8" xfId="4574" xr:uid="{00000000-0005-0000-0000-000079050000}"/>
    <cellStyle name="40% - Accent3 3 8 2" xfId="13013" xr:uid="{A38CDE80-F5DC-48FB-BA35-FB46627847DC}"/>
    <cellStyle name="40% - Accent3 3 9" xfId="8795" xr:uid="{3624FA9E-51F8-410C-BA85-B13C125F5049}"/>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15574" xr:uid="{AE18148D-29F9-4183-A60D-ECDE7FF15AD1}"/>
    <cellStyle name="40% - Accent3 4 2 2 3" xfId="11356" xr:uid="{90FA2388-7EBD-4D23-8F55-1DE680BFC2BA}"/>
    <cellStyle name="40% - Accent3 4 2 3" xfId="4990" xr:uid="{00000000-0005-0000-0000-00007E050000}"/>
    <cellStyle name="40% - Accent3 4 2 3 2" xfId="13429" xr:uid="{499E97B9-E8CA-4A1F-894A-D3D59CDD10A8}"/>
    <cellStyle name="40% - Accent3 4 2 4" xfId="9211" xr:uid="{E720D2E0-6E2F-4888-8D5B-6D4956498C95}"/>
    <cellStyle name="40% - Accent3 4 3" xfId="1094" xr:uid="{00000000-0005-0000-0000-00007F050000}"/>
    <cellStyle name="40% - Accent3 4 3 2" xfId="3325" xr:uid="{00000000-0005-0000-0000-000080050000}"/>
    <cellStyle name="40% - Accent3 4 3 2 2" xfId="7548" xr:uid="{00000000-0005-0000-0000-000081050000}"/>
    <cellStyle name="40% - Accent3 4 3 2 2 2" xfId="15987" xr:uid="{93E1D01F-F0BB-4BFA-B32C-3D72C387D043}"/>
    <cellStyle name="40% - Accent3 4 3 2 3" xfId="11769" xr:uid="{EFEE787D-2104-46E4-A518-A198458FAC77}"/>
    <cellStyle name="40% - Accent3 4 3 3" xfId="5403" xr:uid="{00000000-0005-0000-0000-000082050000}"/>
    <cellStyle name="40% - Accent3 4 3 3 2" xfId="13842" xr:uid="{6424F0C7-7955-4AFB-901A-FF793CA265F0}"/>
    <cellStyle name="40% - Accent3 4 3 4" xfId="9624" xr:uid="{7AA70651-42BF-4550-897F-139D8B7082D3}"/>
    <cellStyle name="40% - Accent3 4 4" xfId="1508" xr:uid="{00000000-0005-0000-0000-000083050000}"/>
    <cellStyle name="40% - Accent3 4 4 2" xfId="3738" xr:uid="{00000000-0005-0000-0000-000084050000}"/>
    <cellStyle name="40% - Accent3 4 4 2 2" xfId="7961" xr:uid="{00000000-0005-0000-0000-000085050000}"/>
    <cellStyle name="40% - Accent3 4 4 2 2 2" xfId="16400" xr:uid="{26E12925-4D54-4631-8C40-DA84CC1A029B}"/>
    <cellStyle name="40% - Accent3 4 4 2 3" xfId="12182" xr:uid="{2A577E02-ED6B-4E6F-AD2A-2606EA2BEC96}"/>
    <cellStyle name="40% - Accent3 4 4 3" xfId="5816" xr:uid="{00000000-0005-0000-0000-000086050000}"/>
    <cellStyle name="40% - Accent3 4 4 3 2" xfId="14255" xr:uid="{B5E37BC6-0F59-44D6-A65C-0A593C348707}"/>
    <cellStyle name="40% - Accent3 4 4 4" xfId="10037" xr:uid="{512F9B1D-9E1D-4BE7-845E-F1B5F30AFDA7}"/>
    <cellStyle name="40% - Accent3 4 5" xfId="1922" xr:uid="{00000000-0005-0000-0000-000087050000}"/>
    <cellStyle name="40% - Accent3 4 5 2" xfId="4151" xr:uid="{00000000-0005-0000-0000-000088050000}"/>
    <cellStyle name="40% - Accent3 4 5 2 2" xfId="8374" xr:uid="{00000000-0005-0000-0000-000089050000}"/>
    <cellStyle name="40% - Accent3 4 5 2 2 2" xfId="16813" xr:uid="{FE7E68EF-308C-4C66-AC69-B71F71BAD59B}"/>
    <cellStyle name="40% - Accent3 4 5 2 3" xfId="12595" xr:uid="{3BD32B84-B1AA-465B-8899-B58039B8626E}"/>
    <cellStyle name="40% - Accent3 4 5 3" xfId="6229" xr:uid="{00000000-0005-0000-0000-00008A050000}"/>
    <cellStyle name="40% - Accent3 4 5 3 2" xfId="14668" xr:uid="{03138F51-06AD-4A76-B8DC-D61A72973D8B}"/>
    <cellStyle name="40% - Accent3 4 5 4" xfId="10450" xr:uid="{E7C4F1FB-5ED7-473A-AF30-58ECCF4CEBE1}"/>
    <cellStyle name="40% - Accent3 4 6" xfId="2335" xr:uid="{00000000-0005-0000-0000-00008B050000}"/>
    <cellStyle name="40% - Accent3 4 6 2" xfId="6642" xr:uid="{00000000-0005-0000-0000-00008C050000}"/>
    <cellStyle name="40% - Accent3 4 6 2 2" xfId="15081" xr:uid="{0EF5F80F-C0F5-481B-9294-B59D15F8380A}"/>
    <cellStyle name="40% - Accent3 4 6 3" xfId="10863" xr:uid="{87532553-D088-4FEC-AD2C-E9F658237BE8}"/>
    <cellStyle name="40% - Accent3 4 7" xfId="4576" xr:uid="{00000000-0005-0000-0000-00008D050000}"/>
    <cellStyle name="40% - Accent3 4 7 2" xfId="13015" xr:uid="{6388B804-50CA-4CC7-B642-42B7EF4D73E1}"/>
    <cellStyle name="40% - Accent3 4 8" xfId="8797" xr:uid="{950B9B12-C8D7-4433-B126-29E6224E846F}"/>
    <cellStyle name="40% - Accent3 5" xfId="634" xr:uid="{00000000-0005-0000-0000-00008E050000}"/>
    <cellStyle name="40% - Accent3 5 2" xfId="2905" xr:uid="{00000000-0005-0000-0000-00008F050000}"/>
    <cellStyle name="40% - Accent3 5 2 2" xfId="7128" xr:uid="{00000000-0005-0000-0000-000090050000}"/>
    <cellStyle name="40% - Accent3 5 2 2 2" xfId="15567" xr:uid="{2C3B2309-5BDB-48E3-BFBF-F5AB1D821CC7}"/>
    <cellStyle name="40% - Accent3 5 2 3" xfId="11349" xr:uid="{1AF97E84-A04F-483B-8D5E-66CEAC8CAABF}"/>
    <cellStyle name="40% - Accent3 5 3" xfId="4983" xr:uid="{00000000-0005-0000-0000-000091050000}"/>
    <cellStyle name="40% - Accent3 5 3 2" xfId="13422" xr:uid="{A760A9E6-2BB0-4C31-A053-1A9E4429D850}"/>
    <cellStyle name="40% - Accent3 5 4" xfId="9204" xr:uid="{E9B856C5-CD7D-4057-B48B-2A0AF4AFF74B}"/>
    <cellStyle name="40% - Accent3 6" xfId="1087" xr:uid="{00000000-0005-0000-0000-000092050000}"/>
    <cellStyle name="40% - Accent3 6 2" xfId="3318" xr:uid="{00000000-0005-0000-0000-000093050000}"/>
    <cellStyle name="40% - Accent3 6 2 2" xfId="7541" xr:uid="{00000000-0005-0000-0000-000094050000}"/>
    <cellStyle name="40% - Accent3 6 2 2 2" xfId="15980" xr:uid="{049E5A6E-53F9-47D3-B011-6E99FF7818E4}"/>
    <cellStyle name="40% - Accent3 6 2 3" xfId="11762" xr:uid="{965A0B4F-3C82-4ACF-8F60-F3B4927DB396}"/>
    <cellStyle name="40% - Accent3 6 3" xfId="5396" xr:uid="{00000000-0005-0000-0000-000095050000}"/>
    <cellStyle name="40% - Accent3 6 3 2" xfId="13835" xr:uid="{1408C00D-633F-4B8B-BBF2-B1EF52DBE052}"/>
    <cellStyle name="40% - Accent3 6 4" xfId="9617" xr:uid="{D52E15D6-BAB1-4E5A-956E-233F35D96C11}"/>
    <cellStyle name="40% - Accent3 7" xfId="1501" xr:uid="{00000000-0005-0000-0000-000096050000}"/>
    <cellStyle name="40% - Accent3 7 2" xfId="3731" xr:uid="{00000000-0005-0000-0000-000097050000}"/>
    <cellStyle name="40% - Accent3 7 2 2" xfId="7954" xr:uid="{00000000-0005-0000-0000-000098050000}"/>
    <cellStyle name="40% - Accent3 7 2 2 2" xfId="16393" xr:uid="{CE2C4BE6-EF0B-437E-BE05-4A6EB5295294}"/>
    <cellStyle name="40% - Accent3 7 2 3" xfId="12175" xr:uid="{3116F7D3-22BB-4076-BBDB-439A59048FAB}"/>
    <cellStyle name="40% - Accent3 7 3" xfId="5809" xr:uid="{00000000-0005-0000-0000-000099050000}"/>
    <cellStyle name="40% - Accent3 7 3 2" xfId="14248" xr:uid="{785068A2-3FF6-415B-8A91-D1AFC96F277E}"/>
    <cellStyle name="40% - Accent3 7 4" xfId="10030" xr:uid="{0B89453E-7C57-4649-8362-C5027AC522EE}"/>
    <cellStyle name="40% - Accent3 8" xfId="1915" xr:uid="{00000000-0005-0000-0000-00009A050000}"/>
    <cellStyle name="40% - Accent3 8 2" xfId="4144" xr:uid="{00000000-0005-0000-0000-00009B050000}"/>
    <cellStyle name="40% - Accent3 8 2 2" xfId="8367" xr:uid="{00000000-0005-0000-0000-00009C050000}"/>
    <cellStyle name="40% - Accent3 8 2 2 2" xfId="16806" xr:uid="{2C43309F-E273-418B-AB69-49A51461DAFE}"/>
    <cellStyle name="40% - Accent3 8 2 3" xfId="12588" xr:uid="{6C28F0E7-B5ED-40B3-BB75-68ED1DA7FD6C}"/>
    <cellStyle name="40% - Accent3 8 3" xfId="6222" xr:uid="{00000000-0005-0000-0000-00009D050000}"/>
    <cellStyle name="40% - Accent3 8 3 2" xfId="14661" xr:uid="{CD0966A9-8548-4860-B3EC-581A0B115189}"/>
    <cellStyle name="40% - Accent3 8 4" xfId="10443" xr:uid="{1F468A3E-61FB-48C8-9FBA-CADC911A6E93}"/>
    <cellStyle name="40% - Accent3 9" xfId="2328" xr:uid="{00000000-0005-0000-0000-00009E050000}"/>
    <cellStyle name="40% - Accent3 9 2" xfId="6635" xr:uid="{00000000-0005-0000-0000-00009F050000}"/>
    <cellStyle name="40% - Accent3 9 2 2" xfId="15074" xr:uid="{9CC82D26-9DD6-49E1-8E0B-BE9612056213}"/>
    <cellStyle name="40% - Accent3 9 3" xfId="10856" xr:uid="{08AB9056-28E5-4A1E-BDF9-94A2662EBFE0}"/>
    <cellStyle name="40% - Accent4" xfId="73" builtinId="43" customBuiltin="1"/>
    <cellStyle name="40% - Accent4 10" xfId="4577" xr:uid="{00000000-0005-0000-0000-0000A1050000}"/>
    <cellStyle name="40% - Accent4 10 2" xfId="13016" xr:uid="{42F7DF81-7AE1-4704-B4E3-552584AF2A4A}"/>
    <cellStyle name="40% - Accent4 11" xfId="8798" xr:uid="{1849A904-ECF6-4BF1-B4FC-1C7785C3CD84}"/>
    <cellStyle name="40% - Accent4 2" xfId="74" xr:uid="{00000000-0005-0000-0000-0000A2050000}"/>
    <cellStyle name="40% - Accent4 2 10" xfId="8799" xr:uid="{EEAD4E3F-3A02-41B4-B559-B04565495E61}"/>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5578" xr:uid="{D4770AD4-11CA-4227-90FA-C7CB93FFE3CF}"/>
    <cellStyle name="40% - Accent4 2 2 2 2 2 3" xfId="11360" xr:uid="{BC71DF2B-71FB-4AA4-8210-9632B1A924BD}"/>
    <cellStyle name="40% - Accent4 2 2 2 2 3" xfId="4994" xr:uid="{00000000-0005-0000-0000-0000A8050000}"/>
    <cellStyle name="40% - Accent4 2 2 2 2 3 2" xfId="13433" xr:uid="{62E55224-E4DB-4FC6-9E6B-79D3F44990F6}"/>
    <cellStyle name="40% - Accent4 2 2 2 2 4" xfId="9215" xr:uid="{2D8A5605-624C-4804-878D-344E25C0CD61}"/>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15991" xr:uid="{BDFC8116-53CA-4C70-9E9E-0C0DA49D8E27}"/>
    <cellStyle name="40% - Accent4 2 2 2 3 2 3" xfId="11773" xr:uid="{FEF4EDFF-5150-4F86-871F-BF8F54160628}"/>
    <cellStyle name="40% - Accent4 2 2 2 3 3" xfId="5407" xr:uid="{00000000-0005-0000-0000-0000AC050000}"/>
    <cellStyle name="40% - Accent4 2 2 2 3 3 2" xfId="13846" xr:uid="{2C05A9CF-1297-4E07-A9B3-5C4FF8FB16CF}"/>
    <cellStyle name="40% - Accent4 2 2 2 3 4" xfId="9628" xr:uid="{D12E23FF-AF5A-4461-A509-350548DA9126}"/>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16404" xr:uid="{4CCB0C2E-8977-4D90-910B-50D610538920}"/>
    <cellStyle name="40% - Accent4 2 2 2 4 2 3" xfId="12186" xr:uid="{06C7AE6C-C566-4A51-9E12-2BC7140F3AFA}"/>
    <cellStyle name="40% - Accent4 2 2 2 4 3" xfId="5820" xr:uid="{00000000-0005-0000-0000-0000B0050000}"/>
    <cellStyle name="40% - Accent4 2 2 2 4 3 2" xfId="14259" xr:uid="{7985D78B-164C-458F-A00C-CA17A9718450}"/>
    <cellStyle name="40% - Accent4 2 2 2 4 4" xfId="10041" xr:uid="{5E8B7CCA-A5E9-4579-8091-B6D8B6F34FD1}"/>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16817" xr:uid="{519C2EB8-3DBA-4856-887B-98016DE7FD63}"/>
    <cellStyle name="40% - Accent4 2 2 2 5 2 3" xfId="12599" xr:uid="{6DC795CA-26D8-4D23-864E-F636C4C6776C}"/>
    <cellStyle name="40% - Accent4 2 2 2 5 3" xfId="6233" xr:uid="{00000000-0005-0000-0000-0000B4050000}"/>
    <cellStyle name="40% - Accent4 2 2 2 5 3 2" xfId="14672" xr:uid="{1FE18CC5-0397-4350-BE91-360B56EECDB7}"/>
    <cellStyle name="40% - Accent4 2 2 2 5 4" xfId="10454" xr:uid="{A2238EDC-A982-4F7F-B217-27179D01D844}"/>
    <cellStyle name="40% - Accent4 2 2 2 6" xfId="2339" xr:uid="{00000000-0005-0000-0000-0000B5050000}"/>
    <cellStyle name="40% - Accent4 2 2 2 6 2" xfId="6646" xr:uid="{00000000-0005-0000-0000-0000B6050000}"/>
    <cellStyle name="40% - Accent4 2 2 2 6 2 2" xfId="15085" xr:uid="{7652ED30-43CA-431D-976B-FF0A9862190E}"/>
    <cellStyle name="40% - Accent4 2 2 2 6 3" xfId="10867" xr:uid="{52FE53FC-7A5A-4379-9E38-66220C34705B}"/>
    <cellStyle name="40% - Accent4 2 2 2 7" xfId="4580" xr:uid="{00000000-0005-0000-0000-0000B7050000}"/>
    <cellStyle name="40% - Accent4 2 2 2 7 2" xfId="13019" xr:uid="{311ACBD5-EE25-4128-B0CB-E5211B36E483}"/>
    <cellStyle name="40% - Accent4 2 2 2 8" xfId="8801" xr:uid="{7254725B-9ED0-474B-BBE9-4E8743C354BD}"/>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5577" xr:uid="{30DE8CA1-1B74-4064-8EB4-55B9114E6756}"/>
    <cellStyle name="40% - Accent4 2 2 3 2 3" xfId="11359" xr:uid="{681CD679-0A2F-42A6-A442-77D4A1CEFB76}"/>
    <cellStyle name="40% - Accent4 2 2 3 3" xfId="4993" xr:uid="{00000000-0005-0000-0000-0000BB050000}"/>
    <cellStyle name="40% - Accent4 2 2 3 3 2" xfId="13432" xr:uid="{792C28C8-6D1A-4F75-84ED-1342450BFBEC}"/>
    <cellStyle name="40% - Accent4 2 2 3 4" xfId="9214" xr:uid="{A63A46AE-D973-4F6E-88C3-AC8130EC6EC9}"/>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15990" xr:uid="{DFF82CBE-DCE8-4FED-B131-4D355DBFCC60}"/>
    <cellStyle name="40% - Accent4 2 2 4 2 3" xfId="11772" xr:uid="{C415EA35-7DEF-4E54-82CE-2C48D2B1DD25}"/>
    <cellStyle name="40% - Accent4 2 2 4 3" xfId="5406" xr:uid="{00000000-0005-0000-0000-0000BF050000}"/>
    <cellStyle name="40% - Accent4 2 2 4 3 2" xfId="13845" xr:uid="{341749DA-B9C2-4E9E-9838-06EBE377D37B}"/>
    <cellStyle name="40% - Accent4 2 2 4 4" xfId="9627" xr:uid="{E937C304-1E1D-4899-8399-22501B4798D3}"/>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16403" xr:uid="{3838073B-2E07-4088-BFE3-B603E9CA8E73}"/>
    <cellStyle name="40% - Accent4 2 2 5 2 3" xfId="12185" xr:uid="{F73A35A9-3891-4274-B986-5838FC8C0432}"/>
    <cellStyle name="40% - Accent4 2 2 5 3" xfId="5819" xr:uid="{00000000-0005-0000-0000-0000C3050000}"/>
    <cellStyle name="40% - Accent4 2 2 5 3 2" xfId="14258" xr:uid="{E94DB85A-2EAB-477C-9FE8-FC0BECB846D7}"/>
    <cellStyle name="40% - Accent4 2 2 5 4" xfId="10040" xr:uid="{6FB70E64-4FAE-4688-96C8-2A35925AAC43}"/>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16816" xr:uid="{ABA93093-6348-4083-B34A-6FBAB7CC4411}"/>
    <cellStyle name="40% - Accent4 2 2 6 2 3" xfId="12598" xr:uid="{F3DAB335-2A8A-4FB3-B6D3-DE59DBC53C74}"/>
    <cellStyle name="40% - Accent4 2 2 6 3" xfId="6232" xr:uid="{00000000-0005-0000-0000-0000C7050000}"/>
    <cellStyle name="40% - Accent4 2 2 6 3 2" xfId="14671" xr:uid="{4D208DE0-B282-4F3E-BCAF-14AD7D9091B6}"/>
    <cellStyle name="40% - Accent4 2 2 6 4" xfId="10453" xr:uid="{997B1CFC-186C-4309-990A-3DD7AFEEAB4C}"/>
    <cellStyle name="40% - Accent4 2 2 7" xfId="2338" xr:uid="{00000000-0005-0000-0000-0000C8050000}"/>
    <cellStyle name="40% - Accent4 2 2 7 2" xfId="6645" xr:uid="{00000000-0005-0000-0000-0000C9050000}"/>
    <cellStyle name="40% - Accent4 2 2 7 2 2" xfId="15084" xr:uid="{208894F3-DDFF-4949-9005-D17F956232E7}"/>
    <cellStyle name="40% - Accent4 2 2 7 3" xfId="10866" xr:uid="{40C42005-6913-498C-A4DB-778BCC06C1CC}"/>
    <cellStyle name="40% - Accent4 2 2 8" xfId="4579" xr:uid="{00000000-0005-0000-0000-0000CA050000}"/>
    <cellStyle name="40% - Accent4 2 2 8 2" xfId="13018" xr:uid="{517CE870-0808-4B3B-A54B-E430CB3997E5}"/>
    <cellStyle name="40% - Accent4 2 2 9" xfId="8800" xr:uid="{C2CA59DB-3B31-4CD3-AED5-199EFF9AF838}"/>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5579" xr:uid="{A1205D68-9A8C-4B2A-BD98-CDEC37ACBDB1}"/>
    <cellStyle name="40% - Accent4 2 3 2 2 3" xfId="11361" xr:uid="{80D39852-9FBF-4284-A244-DECBD18BF48D}"/>
    <cellStyle name="40% - Accent4 2 3 2 3" xfId="4995" xr:uid="{00000000-0005-0000-0000-0000CF050000}"/>
    <cellStyle name="40% - Accent4 2 3 2 3 2" xfId="13434" xr:uid="{B60C4218-DF45-4340-BD67-3485485C7321}"/>
    <cellStyle name="40% - Accent4 2 3 2 4" xfId="9216" xr:uid="{2B601E8D-54EE-4979-9FF3-ADFE8405B23B}"/>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15992" xr:uid="{B783758E-740E-4E22-BBA3-24B552AE94F8}"/>
    <cellStyle name="40% - Accent4 2 3 3 2 3" xfId="11774" xr:uid="{8A1EC04A-A1E2-40B1-BBFD-7EE1B42D294C}"/>
    <cellStyle name="40% - Accent4 2 3 3 3" xfId="5408" xr:uid="{00000000-0005-0000-0000-0000D3050000}"/>
    <cellStyle name="40% - Accent4 2 3 3 3 2" xfId="13847" xr:uid="{3D603033-C163-4EAB-97C6-C4FEE66FA2B0}"/>
    <cellStyle name="40% - Accent4 2 3 3 4" xfId="9629" xr:uid="{D867F6FC-E58E-4FFE-BCDE-0E0480CDC73D}"/>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16405" xr:uid="{B3605B12-6F8E-403D-BCB9-7ED56782934F}"/>
    <cellStyle name="40% - Accent4 2 3 4 2 3" xfId="12187" xr:uid="{9D634EDA-1513-48F2-8A1E-E629BA93683A}"/>
    <cellStyle name="40% - Accent4 2 3 4 3" xfId="5821" xr:uid="{00000000-0005-0000-0000-0000D7050000}"/>
    <cellStyle name="40% - Accent4 2 3 4 3 2" xfId="14260" xr:uid="{1503AD96-36A2-4A27-B5F2-E5B824A378DD}"/>
    <cellStyle name="40% - Accent4 2 3 4 4" xfId="10042" xr:uid="{0FA5E12E-FF18-4CA2-8C58-B980462E82BF}"/>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16818" xr:uid="{8A2EFB2D-F470-4A8B-963F-506E6B158B0B}"/>
    <cellStyle name="40% - Accent4 2 3 5 2 3" xfId="12600" xr:uid="{E9E0DC35-0ABD-4F9A-A7B6-5881E02B34D2}"/>
    <cellStyle name="40% - Accent4 2 3 5 3" xfId="6234" xr:uid="{00000000-0005-0000-0000-0000DB050000}"/>
    <cellStyle name="40% - Accent4 2 3 5 3 2" xfId="14673" xr:uid="{E519BACC-F683-401A-A204-BA05AF8DE954}"/>
    <cellStyle name="40% - Accent4 2 3 5 4" xfId="10455" xr:uid="{0B1E2986-A15F-4F25-82B8-3342673F0FBA}"/>
    <cellStyle name="40% - Accent4 2 3 6" xfId="2340" xr:uid="{00000000-0005-0000-0000-0000DC050000}"/>
    <cellStyle name="40% - Accent4 2 3 6 2" xfId="6647" xr:uid="{00000000-0005-0000-0000-0000DD050000}"/>
    <cellStyle name="40% - Accent4 2 3 6 2 2" xfId="15086" xr:uid="{FA5418A0-F2EF-4B8D-9704-5DEA7F6C8927}"/>
    <cellStyle name="40% - Accent4 2 3 6 3" xfId="10868" xr:uid="{D45D322C-7497-4C34-B858-18ADE2C8B7E8}"/>
    <cellStyle name="40% - Accent4 2 3 7" xfId="4581" xr:uid="{00000000-0005-0000-0000-0000DE050000}"/>
    <cellStyle name="40% - Accent4 2 3 7 2" xfId="13020" xr:uid="{107E0C4D-C70A-4001-9B9C-905BE0D50108}"/>
    <cellStyle name="40% - Accent4 2 3 8" xfId="8802" xr:uid="{F055800F-F567-4586-AFD9-D9EF049977D8}"/>
    <cellStyle name="40% - Accent4 2 4" xfId="643" xr:uid="{00000000-0005-0000-0000-0000DF050000}"/>
    <cellStyle name="40% - Accent4 2 4 2" xfId="2914" xr:uid="{00000000-0005-0000-0000-0000E0050000}"/>
    <cellStyle name="40% - Accent4 2 4 2 2" xfId="7137" xr:uid="{00000000-0005-0000-0000-0000E1050000}"/>
    <cellStyle name="40% - Accent4 2 4 2 2 2" xfId="15576" xr:uid="{44401BF5-6226-4199-9FD3-A58EAD977063}"/>
    <cellStyle name="40% - Accent4 2 4 2 3" xfId="11358" xr:uid="{0C5868F5-E9D5-44ED-9654-28A5FDE08BDF}"/>
    <cellStyle name="40% - Accent4 2 4 3" xfId="4992" xr:uid="{00000000-0005-0000-0000-0000E2050000}"/>
    <cellStyle name="40% - Accent4 2 4 3 2" xfId="13431" xr:uid="{2059878C-BA2A-4342-AB09-D243E594100B}"/>
    <cellStyle name="40% - Accent4 2 4 4" xfId="9213" xr:uid="{AC83FAB6-10C3-4BB8-A408-75169D62D57C}"/>
    <cellStyle name="40% - Accent4 2 5" xfId="1096" xr:uid="{00000000-0005-0000-0000-0000E3050000}"/>
    <cellStyle name="40% - Accent4 2 5 2" xfId="3327" xr:uid="{00000000-0005-0000-0000-0000E4050000}"/>
    <cellStyle name="40% - Accent4 2 5 2 2" xfId="7550" xr:uid="{00000000-0005-0000-0000-0000E5050000}"/>
    <cellStyle name="40% - Accent4 2 5 2 2 2" xfId="15989" xr:uid="{A56FA476-A730-4E7F-902F-88367BB8EAAF}"/>
    <cellStyle name="40% - Accent4 2 5 2 3" xfId="11771" xr:uid="{ED9D4FE0-1374-45E9-90A6-05BFB4BA5768}"/>
    <cellStyle name="40% - Accent4 2 5 3" xfId="5405" xr:uid="{00000000-0005-0000-0000-0000E6050000}"/>
    <cellStyle name="40% - Accent4 2 5 3 2" xfId="13844" xr:uid="{54D10A6A-E094-4DFB-AE60-A7B564B87A4F}"/>
    <cellStyle name="40% - Accent4 2 5 4" xfId="9626" xr:uid="{B13FEAE6-83EA-40F6-A3E3-B405914AD733}"/>
    <cellStyle name="40% - Accent4 2 6" xfId="1510" xr:uid="{00000000-0005-0000-0000-0000E7050000}"/>
    <cellStyle name="40% - Accent4 2 6 2" xfId="3740" xr:uid="{00000000-0005-0000-0000-0000E8050000}"/>
    <cellStyle name="40% - Accent4 2 6 2 2" xfId="7963" xr:uid="{00000000-0005-0000-0000-0000E9050000}"/>
    <cellStyle name="40% - Accent4 2 6 2 2 2" xfId="16402" xr:uid="{053F99C1-F5C9-487A-AFB4-349495AE0E5E}"/>
    <cellStyle name="40% - Accent4 2 6 2 3" xfId="12184" xr:uid="{3F7DBB59-059E-4873-9ACC-28C279B76C42}"/>
    <cellStyle name="40% - Accent4 2 6 3" xfId="5818" xr:uid="{00000000-0005-0000-0000-0000EA050000}"/>
    <cellStyle name="40% - Accent4 2 6 3 2" xfId="14257" xr:uid="{AB4A93F6-7C2F-4FFB-A3C5-4135FF9BC0E7}"/>
    <cellStyle name="40% - Accent4 2 6 4" xfId="10039" xr:uid="{31630CC8-1BF6-4A26-B697-A7F48DCA89DA}"/>
    <cellStyle name="40% - Accent4 2 7" xfId="1924" xr:uid="{00000000-0005-0000-0000-0000EB050000}"/>
    <cellStyle name="40% - Accent4 2 7 2" xfId="4153" xr:uid="{00000000-0005-0000-0000-0000EC050000}"/>
    <cellStyle name="40% - Accent4 2 7 2 2" xfId="8376" xr:uid="{00000000-0005-0000-0000-0000ED050000}"/>
    <cellStyle name="40% - Accent4 2 7 2 2 2" xfId="16815" xr:uid="{8E76A57E-E9C0-4B75-AB1C-F43655E82A4C}"/>
    <cellStyle name="40% - Accent4 2 7 2 3" xfId="12597" xr:uid="{27F06246-CB8F-4C16-B3EC-E569340C958A}"/>
    <cellStyle name="40% - Accent4 2 7 3" xfId="6231" xr:uid="{00000000-0005-0000-0000-0000EE050000}"/>
    <cellStyle name="40% - Accent4 2 7 3 2" xfId="14670" xr:uid="{AD85A323-51DD-4446-A105-507C8248E282}"/>
    <cellStyle name="40% - Accent4 2 7 4" xfId="10452" xr:uid="{1BFC0CFF-6811-4641-A699-184ABFC3C08B}"/>
    <cellStyle name="40% - Accent4 2 8" xfId="2337" xr:uid="{00000000-0005-0000-0000-0000EF050000}"/>
    <cellStyle name="40% - Accent4 2 8 2" xfId="6644" xr:uid="{00000000-0005-0000-0000-0000F0050000}"/>
    <cellStyle name="40% - Accent4 2 8 2 2" xfId="15083" xr:uid="{9ADFC93E-375B-40D9-819F-51C747D20870}"/>
    <cellStyle name="40% - Accent4 2 8 3" xfId="10865" xr:uid="{0078F72D-4D64-441A-843E-BE1B4AA8EB8C}"/>
    <cellStyle name="40% - Accent4 2 9" xfId="4578" xr:uid="{00000000-0005-0000-0000-0000F1050000}"/>
    <cellStyle name="40% - Accent4 2 9 2" xfId="13017" xr:uid="{B89556D2-719F-45E7-A8E2-E689BCAC9B39}"/>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5581" xr:uid="{4F89F6FA-9065-409F-A9AD-8F2019A6A437}"/>
    <cellStyle name="40% - Accent4 3 2 2 2 3" xfId="11363" xr:uid="{822BAE08-9033-4E64-83D5-4E64050965C1}"/>
    <cellStyle name="40% - Accent4 3 2 2 3" xfId="4997" xr:uid="{00000000-0005-0000-0000-0000F7050000}"/>
    <cellStyle name="40% - Accent4 3 2 2 3 2" xfId="13436" xr:uid="{B4B21054-A6BA-458B-95A2-5CD44A43FF8B}"/>
    <cellStyle name="40% - Accent4 3 2 2 4" xfId="9218" xr:uid="{E2F66E88-EA48-44A1-8ECA-6163DBE956F8}"/>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15994" xr:uid="{496D5274-7EAE-4ED1-B7D8-DE5C2FD27ED5}"/>
    <cellStyle name="40% - Accent4 3 2 3 2 3" xfId="11776" xr:uid="{2AE0D81E-7544-491E-A0A9-58FEFC392DB9}"/>
    <cellStyle name="40% - Accent4 3 2 3 3" xfId="5410" xr:uid="{00000000-0005-0000-0000-0000FB050000}"/>
    <cellStyle name="40% - Accent4 3 2 3 3 2" xfId="13849" xr:uid="{8FDD45F5-74DD-479A-B6EA-B0DAA8076C1D}"/>
    <cellStyle name="40% - Accent4 3 2 3 4" xfId="9631" xr:uid="{AEE5D4F8-CC2F-475D-8BE6-9D3B022302C5}"/>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16407" xr:uid="{22EA9A94-91AE-4437-80BB-0F5BA62CFA6A}"/>
    <cellStyle name="40% - Accent4 3 2 4 2 3" xfId="12189" xr:uid="{61B3F5AC-3BE9-44C0-908A-A2B37ED550F5}"/>
    <cellStyle name="40% - Accent4 3 2 4 3" xfId="5823" xr:uid="{00000000-0005-0000-0000-0000FF050000}"/>
    <cellStyle name="40% - Accent4 3 2 4 3 2" xfId="14262" xr:uid="{713893C3-93D8-4EF8-AF25-7654E5DBC1E2}"/>
    <cellStyle name="40% - Accent4 3 2 4 4" xfId="10044" xr:uid="{DC71D267-B6D1-4B2E-B866-79196D16FEBA}"/>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16820" xr:uid="{BECD2A0C-5C67-4036-BFBC-37E294D6DCCB}"/>
    <cellStyle name="40% - Accent4 3 2 5 2 3" xfId="12602" xr:uid="{FEC12DFC-4A4B-41C5-AA32-0D446BB0EC7D}"/>
    <cellStyle name="40% - Accent4 3 2 5 3" xfId="6236" xr:uid="{00000000-0005-0000-0000-000003060000}"/>
    <cellStyle name="40% - Accent4 3 2 5 3 2" xfId="14675" xr:uid="{C014CE7C-CAD5-4F87-9EE3-C02BF6678CB5}"/>
    <cellStyle name="40% - Accent4 3 2 5 4" xfId="10457" xr:uid="{57329A7C-C9D5-46B5-95A4-C85FF9781377}"/>
    <cellStyle name="40% - Accent4 3 2 6" xfId="2342" xr:uid="{00000000-0005-0000-0000-000004060000}"/>
    <cellStyle name="40% - Accent4 3 2 6 2" xfId="6649" xr:uid="{00000000-0005-0000-0000-000005060000}"/>
    <cellStyle name="40% - Accent4 3 2 6 2 2" xfId="15088" xr:uid="{1CFE3020-A888-49FF-9C26-0D800EFFF317}"/>
    <cellStyle name="40% - Accent4 3 2 6 3" xfId="10870" xr:uid="{3BD46D50-7AC1-47BB-9D46-0525A735EA90}"/>
    <cellStyle name="40% - Accent4 3 2 7" xfId="4583" xr:uid="{00000000-0005-0000-0000-000006060000}"/>
    <cellStyle name="40% - Accent4 3 2 7 2" xfId="13022" xr:uid="{DEE638DE-A764-494B-A6CD-FFB322F53238}"/>
    <cellStyle name="40% - Accent4 3 2 8" xfId="8804" xr:uid="{02F5833D-1117-456F-8EA7-AA62FD9205B4}"/>
    <cellStyle name="40% - Accent4 3 3" xfId="647" xr:uid="{00000000-0005-0000-0000-000007060000}"/>
    <cellStyle name="40% - Accent4 3 3 2" xfId="2918" xr:uid="{00000000-0005-0000-0000-000008060000}"/>
    <cellStyle name="40% - Accent4 3 3 2 2" xfId="7141" xr:uid="{00000000-0005-0000-0000-000009060000}"/>
    <cellStyle name="40% - Accent4 3 3 2 2 2" xfId="15580" xr:uid="{11940B09-7620-4A0F-9B9B-2D838EB6DFE4}"/>
    <cellStyle name="40% - Accent4 3 3 2 3" xfId="11362" xr:uid="{3883412C-2FE7-432E-A9CD-8AD04977C8FC}"/>
    <cellStyle name="40% - Accent4 3 3 3" xfId="4996" xr:uid="{00000000-0005-0000-0000-00000A060000}"/>
    <cellStyle name="40% - Accent4 3 3 3 2" xfId="13435" xr:uid="{F59F502A-8665-4674-881D-8D2244D02CAB}"/>
    <cellStyle name="40% - Accent4 3 3 4" xfId="9217" xr:uid="{A3344330-8F7C-42B8-99E0-0EF9DF999CBC}"/>
    <cellStyle name="40% - Accent4 3 4" xfId="1100" xr:uid="{00000000-0005-0000-0000-00000B060000}"/>
    <cellStyle name="40% - Accent4 3 4 2" xfId="3331" xr:uid="{00000000-0005-0000-0000-00000C060000}"/>
    <cellStyle name="40% - Accent4 3 4 2 2" xfId="7554" xr:uid="{00000000-0005-0000-0000-00000D060000}"/>
    <cellStyle name="40% - Accent4 3 4 2 2 2" xfId="15993" xr:uid="{E1C93AB4-F381-4BB2-A7F4-807AFA712F07}"/>
    <cellStyle name="40% - Accent4 3 4 2 3" xfId="11775" xr:uid="{C9C1BFFB-DE55-480F-BFBC-49BA761448A0}"/>
    <cellStyle name="40% - Accent4 3 4 3" xfId="5409" xr:uid="{00000000-0005-0000-0000-00000E060000}"/>
    <cellStyle name="40% - Accent4 3 4 3 2" xfId="13848" xr:uid="{413712BF-8415-4358-A738-5CE133DCB17D}"/>
    <cellStyle name="40% - Accent4 3 4 4" xfId="9630" xr:uid="{72FE7850-CCCE-4FC5-8738-B7E11006EE3A}"/>
    <cellStyle name="40% - Accent4 3 5" xfId="1514" xr:uid="{00000000-0005-0000-0000-00000F060000}"/>
    <cellStyle name="40% - Accent4 3 5 2" xfId="3744" xr:uid="{00000000-0005-0000-0000-000010060000}"/>
    <cellStyle name="40% - Accent4 3 5 2 2" xfId="7967" xr:uid="{00000000-0005-0000-0000-000011060000}"/>
    <cellStyle name="40% - Accent4 3 5 2 2 2" xfId="16406" xr:uid="{E0796EB7-5D08-4380-901D-954FADE23BF6}"/>
    <cellStyle name="40% - Accent4 3 5 2 3" xfId="12188" xr:uid="{5D375055-DF23-493C-8E3C-342B61EFADDC}"/>
    <cellStyle name="40% - Accent4 3 5 3" xfId="5822" xr:uid="{00000000-0005-0000-0000-000012060000}"/>
    <cellStyle name="40% - Accent4 3 5 3 2" xfId="14261" xr:uid="{7A2CB1FE-2C75-46DF-80AE-57AEA4B69737}"/>
    <cellStyle name="40% - Accent4 3 5 4" xfId="10043" xr:uid="{DBD7EF7C-172C-4DAF-942E-DE7BB9021656}"/>
    <cellStyle name="40% - Accent4 3 6" xfId="1928" xr:uid="{00000000-0005-0000-0000-000013060000}"/>
    <cellStyle name="40% - Accent4 3 6 2" xfId="4157" xr:uid="{00000000-0005-0000-0000-000014060000}"/>
    <cellStyle name="40% - Accent4 3 6 2 2" xfId="8380" xr:uid="{00000000-0005-0000-0000-000015060000}"/>
    <cellStyle name="40% - Accent4 3 6 2 2 2" xfId="16819" xr:uid="{F00C4D52-478A-40E5-9401-E06A8A1A6CC0}"/>
    <cellStyle name="40% - Accent4 3 6 2 3" xfId="12601" xr:uid="{5DA8A116-E82B-4369-8FB8-561ADBA306DF}"/>
    <cellStyle name="40% - Accent4 3 6 3" xfId="6235" xr:uid="{00000000-0005-0000-0000-000016060000}"/>
    <cellStyle name="40% - Accent4 3 6 3 2" xfId="14674" xr:uid="{F402734D-A9D2-4631-9EAB-BC51759F658C}"/>
    <cellStyle name="40% - Accent4 3 6 4" xfId="10456" xr:uid="{8CCD425C-2DAC-43B5-B25F-4BA8EAD860CD}"/>
    <cellStyle name="40% - Accent4 3 7" xfId="2341" xr:uid="{00000000-0005-0000-0000-000017060000}"/>
    <cellStyle name="40% - Accent4 3 7 2" xfId="6648" xr:uid="{00000000-0005-0000-0000-000018060000}"/>
    <cellStyle name="40% - Accent4 3 7 2 2" xfId="15087" xr:uid="{C43C2B93-D458-4920-ACA3-287741D185FF}"/>
    <cellStyle name="40% - Accent4 3 7 3" xfId="10869" xr:uid="{593278A4-3FB4-47AA-AC4B-240CE36B4A36}"/>
    <cellStyle name="40% - Accent4 3 8" xfId="4582" xr:uid="{00000000-0005-0000-0000-000019060000}"/>
    <cellStyle name="40% - Accent4 3 8 2" xfId="13021" xr:uid="{7068CD3D-8FB0-485C-B7D2-2AD5AA2A3075}"/>
    <cellStyle name="40% - Accent4 3 9" xfId="8803" xr:uid="{CFFB73E0-DD11-43F3-83FE-9A5B2B5DF0A5}"/>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15582" xr:uid="{E36DE38A-5813-4170-A301-139758DCAF79}"/>
    <cellStyle name="40% - Accent4 4 2 2 3" xfId="11364" xr:uid="{88829D1F-C428-47E2-AF3C-0322DC837574}"/>
    <cellStyle name="40% - Accent4 4 2 3" xfId="4998" xr:uid="{00000000-0005-0000-0000-00001E060000}"/>
    <cellStyle name="40% - Accent4 4 2 3 2" xfId="13437" xr:uid="{8FF6894E-DAB6-4088-BE7B-F882F966A349}"/>
    <cellStyle name="40% - Accent4 4 2 4" xfId="9219" xr:uid="{54BAAB04-F367-4FC1-B547-E9B390723B85}"/>
    <cellStyle name="40% - Accent4 4 3" xfId="1102" xr:uid="{00000000-0005-0000-0000-00001F060000}"/>
    <cellStyle name="40% - Accent4 4 3 2" xfId="3333" xr:uid="{00000000-0005-0000-0000-000020060000}"/>
    <cellStyle name="40% - Accent4 4 3 2 2" xfId="7556" xr:uid="{00000000-0005-0000-0000-000021060000}"/>
    <cellStyle name="40% - Accent4 4 3 2 2 2" xfId="15995" xr:uid="{CCAFD5E8-6702-43B4-97D6-33BD157016B4}"/>
    <cellStyle name="40% - Accent4 4 3 2 3" xfId="11777" xr:uid="{AA5E9C2F-B7DF-40E6-B7F1-C5483943CC38}"/>
    <cellStyle name="40% - Accent4 4 3 3" xfId="5411" xr:uid="{00000000-0005-0000-0000-000022060000}"/>
    <cellStyle name="40% - Accent4 4 3 3 2" xfId="13850" xr:uid="{A619B0D5-8B32-4F10-AD2F-9B2B150DC5B3}"/>
    <cellStyle name="40% - Accent4 4 3 4" xfId="9632" xr:uid="{B2703DF2-A822-4008-B248-913988222477}"/>
    <cellStyle name="40% - Accent4 4 4" xfId="1516" xr:uid="{00000000-0005-0000-0000-000023060000}"/>
    <cellStyle name="40% - Accent4 4 4 2" xfId="3746" xr:uid="{00000000-0005-0000-0000-000024060000}"/>
    <cellStyle name="40% - Accent4 4 4 2 2" xfId="7969" xr:uid="{00000000-0005-0000-0000-000025060000}"/>
    <cellStyle name="40% - Accent4 4 4 2 2 2" xfId="16408" xr:uid="{988F64F9-789B-49FE-9701-DAD4B3D380CD}"/>
    <cellStyle name="40% - Accent4 4 4 2 3" xfId="12190" xr:uid="{6A90B3A2-0665-4964-931C-9D05A034EA28}"/>
    <cellStyle name="40% - Accent4 4 4 3" xfId="5824" xr:uid="{00000000-0005-0000-0000-000026060000}"/>
    <cellStyle name="40% - Accent4 4 4 3 2" xfId="14263" xr:uid="{244DADCE-9A12-4FC3-8737-72613A2A8AA6}"/>
    <cellStyle name="40% - Accent4 4 4 4" xfId="10045" xr:uid="{14EA40C2-4B53-4888-8DB6-AF95712FA4AE}"/>
    <cellStyle name="40% - Accent4 4 5" xfId="1930" xr:uid="{00000000-0005-0000-0000-000027060000}"/>
    <cellStyle name="40% - Accent4 4 5 2" xfId="4159" xr:uid="{00000000-0005-0000-0000-000028060000}"/>
    <cellStyle name="40% - Accent4 4 5 2 2" xfId="8382" xr:uid="{00000000-0005-0000-0000-000029060000}"/>
    <cellStyle name="40% - Accent4 4 5 2 2 2" xfId="16821" xr:uid="{619BD1C3-B767-4599-9414-BAEC2B047FA3}"/>
    <cellStyle name="40% - Accent4 4 5 2 3" xfId="12603" xr:uid="{17409B13-4B2E-4F03-963C-F6C769B0994D}"/>
    <cellStyle name="40% - Accent4 4 5 3" xfId="6237" xr:uid="{00000000-0005-0000-0000-00002A060000}"/>
    <cellStyle name="40% - Accent4 4 5 3 2" xfId="14676" xr:uid="{83390ABA-FF40-4818-9F28-00A1E724CCF4}"/>
    <cellStyle name="40% - Accent4 4 5 4" xfId="10458" xr:uid="{2242363A-D0EB-4CCE-A3A2-1CB6C475070A}"/>
    <cellStyle name="40% - Accent4 4 6" xfId="2343" xr:uid="{00000000-0005-0000-0000-00002B060000}"/>
    <cellStyle name="40% - Accent4 4 6 2" xfId="6650" xr:uid="{00000000-0005-0000-0000-00002C060000}"/>
    <cellStyle name="40% - Accent4 4 6 2 2" xfId="15089" xr:uid="{652064A5-5B0B-47B3-94DD-7E7EBB5CEDED}"/>
    <cellStyle name="40% - Accent4 4 6 3" xfId="10871" xr:uid="{5F161A3A-C3BC-4ECB-8288-A68C18C1B7FF}"/>
    <cellStyle name="40% - Accent4 4 7" xfId="4584" xr:uid="{00000000-0005-0000-0000-00002D060000}"/>
    <cellStyle name="40% - Accent4 4 7 2" xfId="13023" xr:uid="{B9FB19AD-F907-4747-88B5-5F0B07206583}"/>
    <cellStyle name="40% - Accent4 4 8" xfId="8805" xr:uid="{A6C86DB8-724E-48A9-9604-E714DEE9DFF7}"/>
    <cellStyle name="40% - Accent4 5" xfId="642" xr:uid="{00000000-0005-0000-0000-00002E060000}"/>
    <cellStyle name="40% - Accent4 5 2" xfId="2913" xr:uid="{00000000-0005-0000-0000-00002F060000}"/>
    <cellStyle name="40% - Accent4 5 2 2" xfId="7136" xr:uid="{00000000-0005-0000-0000-000030060000}"/>
    <cellStyle name="40% - Accent4 5 2 2 2" xfId="15575" xr:uid="{8038AEC5-0F95-4583-9CC0-75C119A0C654}"/>
    <cellStyle name="40% - Accent4 5 2 3" xfId="11357" xr:uid="{34448C4C-7D66-4898-B8E5-44DAB8965564}"/>
    <cellStyle name="40% - Accent4 5 3" xfId="4991" xr:uid="{00000000-0005-0000-0000-000031060000}"/>
    <cellStyle name="40% - Accent4 5 3 2" xfId="13430" xr:uid="{62E983EF-9357-45BB-8D0C-63C1FA58634E}"/>
    <cellStyle name="40% - Accent4 5 4" xfId="9212" xr:uid="{DAB567D6-7DAF-4985-8B97-466096998884}"/>
    <cellStyle name="40% - Accent4 6" xfId="1095" xr:uid="{00000000-0005-0000-0000-000032060000}"/>
    <cellStyle name="40% - Accent4 6 2" xfId="3326" xr:uid="{00000000-0005-0000-0000-000033060000}"/>
    <cellStyle name="40% - Accent4 6 2 2" xfId="7549" xr:uid="{00000000-0005-0000-0000-000034060000}"/>
    <cellStyle name="40% - Accent4 6 2 2 2" xfId="15988" xr:uid="{5A7DB7B4-7B22-42EC-8178-24AEC3A78577}"/>
    <cellStyle name="40% - Accent4 6 2 3" xfId="11770" xr:uid="{2F83DE1B-24DC-47F1-8F6F-18B648F98916}"/>
    <cellStyle name="40% - Accent4 6 3" xfId="5404" xr:uid="{00000000-0005-0000-0000-000035060000}"/>
    <cellStyle name="40% - Accent4 6 3 2" xfId="13843" xr:uid="{1FEE8503-23ED-4F70-A2EE-5006B5CFA710}"/>
    <cellStyle name="40% - Accent4 6 4" xfId="9625" xr:uid="{F76988D4-4E90-46DF-A448-61BE816B6931}"/>
    <cellStyle name="40% - Accent4 7" xfId="1509" xr:uid="{00000000-0005-0000-0000-000036060000}"/>
    <cellStyle name="40% - Accent4 7 2" xfId="3739" xr:uid="{00000000-0005-0000-0000-000037060000}"/>
    <cellStyle name="40% - Accent4 7 2 2" xfId="7962" xr:uid="{00000000-0005-0000-0000-000038060000}"/>
    <cellStyle name="40% - Accent4 7 2 2 2" xfId="16401" xr:uid="{B92E8316-833D-4CA5-9910-139213FFF8DD}"/>
    <cellStyle name="40% - Accent4 7 2 3" xfId="12183" xr:uid="{8FE2823C-3AB3-42EE-91DF-8B8BF5952386}"/>
    <cellStyle name="40% - Accent4 7 3" xfId="5817" xr:uid="{00000000-0005-0000-0000-000039060000}"/>
    <cellStyle name="40% - Accent4 7 3 2" xfId="14256" xr:uid="{9D8D0A1B-E108-42EA-910C-4E6BF971AA61}"/>
    <cellStyle name="40% - Accent4 7 4" xfId="10038" xr:uid="{F4E8230D-66F8-41DB-A3AA-1DF6C85E6813}"/>
    <cellStyle name="40% - Accent4 8" xfId="1923" xr:uid="{00000000-0005-0000-0000-00003A060000}"/>
    <cellStyle name="40% - Accent4 8 2" xfId="4152" xr:uid="{00000000-0005-0000-0000-00003B060000}"/>
    <cellStyle name="40% - Accent4 8 2 2" xfId="8375" xr:uid="{00000000-0005-0000-0000-00003C060000}"/>
    <cellStyle name="40% - Accent4 8 2 2 2" xfId="16814" xr:uid="{F48571E3-D1BA-4161-BDAC-0E704D7C0F7E}"/>
    <cellStyle name="40% - Accent4 8 2 3" xfId="12596" xr:uid="{EA355798-6D8F-4FF3-9483-448F286666B0}"/>
    <cellStyle name="40% - Accent4 8 3" xfId="6230" xr:uid="{00000000-0005-0000-0000-00003D060000}"/>
    <cellStyle name="40% - Accent4 8 3 2" xfId="14669" xr:uid="{0D2363DA-BF0C-48BF-B656-E8A99473D598}"/>
    <cellStyle name="40% - Accent4 8 4" xfId="10451" xr:uid="{3227D2D8-BAA3-4B18-8C27-A6C58455677A}"/>
    <cellStyle name="40% - Accent4 9" xfId="2336" xr:uid="{00000000-0005-0000-0000-00003E060000}"/>
    <cellStyle name="40% - Accent4 9 2" xfId="6643" xr:uid="{00000000-0005-0000-0000-00003F060000}"/>
    <cellStyle name="40% - Accent4 9 2 2" xfId="15082" xr:uid="{027D755D-FCF5-4474-9ECB-6B242CD0A15E}"/>
    <cellStyle name="40% - Accent4 9 3" xfId="10864" xr:uid="{00BD413C-C400-4E28-8864-497D6119C4D1}"/>
    <cellStyle name="40% - Accent5" xfId="81" builtinId="47" customBuiltin="1"/>
    <cellStyle name="40% - Accent5 10" xfId="4585" xr:uid="{00000000-0005-0000-0000-000041060000}"/>
    <cellStyle name="40% - Accent5 10 2" xfId="13024" xr:uid="{FE330A60-845E-41FA-A597-46023D1F3FFF}"/>
    <cellStyle name="40% - Accent5 11" xfId="8806" xr:uid="{EA5E0D15-4284-44DF-8DB0-3CBFFB9CED09}"/>
    <cellStyle name="40% - Accent5 2" xfId="82" xr:uid="{00000000-0005-0000-0000-000042060000}"/>
    <cellStyle name="40% - Accent5 2 10" xfId="8807" xr:uid="{6FC65C22-8166-44D2-BDB7-FA432018D627}"/>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5586" xr:uid="{5968A40B-B540-43C5-BB32-C22DB078F7F1}"/>
    <cellStyle name="40% - Accent5 2 2 2 2 2 3" xfId="11368" xr:uid="{902BC393-E144-4A34-AD0A-495C7D5515AE}"/>
    <cellStyle name="40% - Accent5 2 2 2 2 3" xfId="5002" xr:uid="{00000000-0005-0000-0000-000048060000}"/>
    <cellStyle name="40% - Accent5 2 2 2 2 3 2" xfId="13441" xr:uid="{60610910-40FD-489C-8F66-D0BE51A25958}"/>
    <cellStyle name="40% - Accent5 2 2 2 2 4" xfId="9223" xr:uid="{B7BA3C95-9F01-441A-8202-BC545DEDDC44}"/>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15999" xr:uid="{5D49543F-65A3-4573-9213-71CE9B497B4C}"/>
    <cellStyle name="40% - Accent5 2 2 2 3 2 3" xfId="11781" xr:uid="{E274DF59-8C95-4986-B089-6B7DCA941F9B}"/>
    <cellStyle name="40% - Accent5 2 2 2 3 3" xfId="5415" xr:uid="{00000000-0005-0000-0000-00004C060000}"/>
    <cellStyle name="40% - Accent5 2 2 2 3 3 2" xfId="13854" xr:uid="{B3D0F5FA-0BC5-4191-BF7D-F3B3BF568C9F}"/>
    <cellStyle name="40% - Accent5 2 2 2 3 4" xfId="9636" xr:uid="{DAC0408B-887E-438D-9689-78B94F66747D}"/>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16412" xr:uid="{3C546B7B-24B9-4356-9E7D-E72FA48BB239}"/>
    <cellStyle name="40% - Accent5 2 2 2 4 2 3" xfId="12194" xr:uid="{61686103-DFC8-4F9E-8FF5-DC890BCC178B}"/>
    <cellStyle name="40% - Accent5 2 2 2 4 3" xfId="5828" xr:uid="{00000000-0005-0000-0000-000050060000}"/>
    <cellStyle name="40% - Accent5 2 2 2 4 3 2" xfId="14267" xr:uid="{9BBB6C2F-43BD-497F-BE91-2881B6763C5E}"/>
    <cellStyle name="40% - Accent5 2 2 2 4 4" xfId="10049" xr:uid="{C2926E2E-630E-4405-B365-6A8CE136543C}"/>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16825" xr:uid="{F3906DD6-E974-4452-A3C5-57EA46031130}"/>
    <cellStyle name="40% - Accent5 2 2 2 5 2 3" xfId="12607" xr:uid="{54C105D4-2345-40DE-8A58-176345BC3B5E}"/>
    <cellStyle name="40% - Accent5 2 2 2 5 3" xfId="6241" xr:uid="{00000000-0005-0000-0000-000054060000}"/>
    <cellStyle name="40% - Accent5 2 2 2 5 3 2" xfId="14680" xr:uid="{E0C50E04-55AE-4E77-BBB1-9EC667F66CDB}"/>
    <cellStyle name="40% - Accent5 2 2 2 5 4" xfId="10462" xr:uid="{18ACE8F5-4875-4C4C-8C34-5E06FCA45D5E}"/>
    <cellStyle name="40% - Accent5 2 2 2 6" xfId="2347" xr:uid="{00000000-0005-0000-0000-000055060000}"/>
    <cellStyle name="40% - Accent5 2 2 2 6 2" xfId="6654" xr:uid="{00000000-0005-0000-0000-000056060000}"/>
    <cellStyle name="40% - Accent5 2 2 2 6 2 2" xfId="15093" xr:uid="{EB9DE91C-1DCE-47A9-9D8A-423DE97EEBDB}"/>
    <cellStyle name="40% - Accent5 2 2 2 6 3" xfId="10875" xr:uid="{7129C4DB-8879-493A-B03F-2E0EE5DF294E}"/>
    <cellStyle name="40% - Accent5 2 2 2 7" xfId="4588" xr:uid="{00000000-0005-0000-0000-000057060000}"/>
    <cellStyle name="40% - Accent5 2 2 2 7 2" xfId="13027" xr:uid="{2FBF5C4E-39EC-4980-A22B-38EFA4832DC6}"/>
    <cellStyle name="40% - Accent5 2 2 2 8" xfId="8809" xr:uid="{098317AC-28B0-43DF-B63B-39EDAD63CADA}"/>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5585" xr:uid="{DF20AA2D-4C48-4994-943A-4634AAB2A9BB}"/>
    <cellStyle name="40% - Accent5 2 2 3 2 3" xfId="11367" xr:uid="{A3537C6C-B462-478C-AF37-B54991D661A3}"/>
    <cellStyle name="40% - Accent5 2 2 3 3" xfId="5001" xr:uid="{00000000-0005-0000-0000-00005B060000}"/>
    <cellStyle name="40% - Accent5 2 2 3 3 2" xfId="13440" xr:uid="{F92A3B38-9E41-423D-8C50-18A81D359682}"/>
    <cellStyle name="40% - Accent5 2 2 3 4" xfId="9222" xr:uid="{7F68868F-65E7-409C-B34B-8223D71FA46A}"/>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15998" xr:uid="{1125A754-FF0B-4ABC-8679-ABE67DD1084F}"/>
    <cellStyle name="40% - Accent5 2 2 4 2 3" xfId="11780" xr:uid="{63F1F9C0-8B82-458C-91FD-7A828BA0DDF0}"/>
    <cellStyle name="40% - Accent5 2 2 4 3" xfId="5414" xr:uid="{00000000-0005-0000-0000-00005F060000}"/>
    <cellStyle name="40% - Accent5 2 2 4 3 2" xfId="13853" xr:uid="{DD5D5BEF-3FAE-4C70-B5CA-9E03AFC27478}"/>
    <cellStyle name="40% - Accent5 2 2 4 4" xfId="9635" xr:uid="{518A0290-F6E1-4468-9F22-2DE4BD144C09}"/>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16411" xr:uid="{AE93FEFE-3F74-48E0-A794-A4D9FF081300}"/>
    <cellStyle name="40% - Accent5 2 2 5 2 3" xfId="12193" xr:uid="{3C03A924-254B-48BF-A179-EF94D54326C4}"/>
    <cellStyle name="40% - Accent5 2 2 5 3" xfId="5827" xr:uid="{00000000-0005-0000-0000-000063060000}"/>
    <cellStyle name="40% - Accent5 2 2 5 3 2" xfId="14266" xr:uid="{6D1FE137-66DF-42BF-8BE8-0F8CBB7A3B8B}"/>
    <cellStyle name="40% - Accent5 2 2 5 4" xfId="10048" xr:uid="{9051BA47-01FE-46ED-ACF2-869B9DAD948E}"/>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16824" xr:uid="{824D3959-B39A-4E2E-9387-0EC3ED43EB5D}"/>
    <cellStyle name="40% - Accent5 2 2 6 2 3" xfId="12606" xr:uid="{74F7EDEB-EEBB-4300-AD65-327095D0E979}"/>
    <cellStyle name="40% - Accent5 2 2 6 3" xfId="6240" xr:uid="{00000000-0005-0000-0000-000067060000}"/>
    <cellStyle name="40% - Accent5 2 2 6 3 2" xfId="14679" xr:uid="{6C2038EC-D411-4D4D-B655-CB3EA4FAB45C}"/>
    <cellStyle name="40% - Accent5 2 2 6 4" xfId="10461" xr:uid="{75B87668-EA44-4162-B1B8-AD8D1B182F9E}"/>
    <cellStyle name="40% - Accent5 2 2 7" xfId="2346" xr:uid="{00000000-0005-0000-0000-000068060000}"/>
    <cellStyle name="40% - Accent5 2 2 7 2" xfId="6653" xr:uid="{00000000-0005-0000-0000-000069060000}"/>
    <cellStyle name="40% - Accent5 2 2 7 2 2" xfId="15092" xr:uid="{B08ECD79-FE51-47A4-B04B-DD51100C9A0D}"/>
    <cellStyle name="40% - Accent5 2 2 7 3" xfId="10874" xr:uid="{B3D7557C-669A-47A1-8CB6-ABF5B846DDE0}"/>
    <cellStyle name="40% - Accent5 2 2 8" xfId="4587" xr:uid="{00000000-0005-0000-0000-00006A060000}"/>
    <cellStyle name="40% - Accent5 2 2 8 2" xfId="13026" xr:uid="{6F569028-B5AE-418C-94CE-496F5DB6B77D}"/>
    <cellStyle name="40% - Accent5 2 2 9" xfId="8808" xr:uid="{353B974D-5E15-469E-B620-ABE5044122ED}"/>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5587" xr:uid="{81ED8216-73ED-43D3-BBD2-361D029E5FA4}"/>
    <cellStyle name="40% - Accent5 2 3 2 2 3" xfId="11369" xr:uid="{E00BC52B-157B-4CC0-85B5-4C29745DF007}"/>
    <cellStyle name="40% - Accent5 2 3 2 3" xfId="5003" xr:uid="{00000000-0005-0000-0000-00006F060000}"/>
    <cellStyle name="40% - Accent5 2 3 2 3 2" xfId="13442" xr:uid="{7A39D6CF-6CE7-47CD-9BEA-FAAD25F62965}"/>
    <cellStyle name="40% - Accent5 2 3 2 4" xfId="9224" xr:uid="{52AE154A-9767-441A-A165-48ED185206E3}"/>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16000" xr:uid="{2AD5ED15-24E2-4F09-8AE6-232031F4B226}"/>
    <cellStyle name="40% - Accent5 2 3 3 2 3" xfId="11782" xr:uid="{E1E5A526-22DE-4A3F-B69B-5B63CC00C40A}"/>
    <cellStyle name="40% - Accent5 2 3 3 3" xfId="5416" xr:uid="{00000000-0005-0000-0000-000073060000}"/>
    <cellStyle name="40% - Accent5 2 3 3 3 2" xfId="13855" xr:uid="{25F9B0A0-B7AC-4B13-BFB4-7B4E123B6012}"/>
    <cellStyle name="40% - Accent5 2 3 3 4" xfId="9637" xr:uid="{A5D4E857-A87C-4A32-AE03-415D3CEA1ACB}"/>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16413" xr:uid="{1DE720A5-7CDD-4DCB-B24E-C14F07110D48}"/>
    <cellStyle name="40% - Accent5 2 3 4 2 3" xfId="12195" xr:uid="{D8C506CE-D05C-4C24-A327-8D365B53A15D}"/>
    <cellStyle name="40% - Accent5 2 3 4 3" xfId="5829" xr:uid="{00000000-0005-0000-0000-000077060000}"/>
    <cellStyle name="40% - Accent5 2 3 4 3 2" xfId="14268" xr:uid="{F0244339-1A03-4CB1-8C99-F8867C27DB2A}"/>
    <cellStyle name="40% - Accent5 2 3 4 4" xfId="10050" xr:uid="{41CD0449-99D8-409B-A05C-0E60D82B5058}"/>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16826" xr:uid="{150C5D83-ACE3-4140-A111-8C99B81C9BFC}"/>
    <cellStyle name="40% - Accent5 2 3 5 2 3" xfId="12608" xr:uid="{64015D4A-E2E3-4B9B-A911-7B85745877BB}"/>
    <cellStyle name="40% - Accent5 2 3 5 3" xfId="6242" xr:uid="{00000000-0005-0000-0000-00007B060000}"/>
    <cellStyle name="40% - Accent5 2 3 5 3 2" xfId="14681" xr:uid="{D29FFCE6-5070-40D5-863F-2C1CB16E8834}"/>
    <cellStyle name="40% - Accent5 2 3 5 4" xfId="10463" xr:uid="{83B8CA1D-6237-496B-9A45-99C7F6097F58}"/>
    <cellStyle name="40% - Accent5 2 3 6" xfId="2348" xr:uid="{00000000-0005-0000-0000-00007C060000}"/>
    <cellStyle name="40% - Accent5 2 3 6 2" xfId="6655" xr:uid="{00000000-0005-0000-0000-00007D060000}"/>
    <cellStyle name="40% - Accent5 2 3 6 2 2" xfId="15094" xr:uid="{72554FD2-A153-41A1-A506-3AFD7C513837}"/>
    <cellStyle name="40% - Accent5 2 3 6 3" xfId="10876" xr:uid="{47DE4745-ACB1-419E-BC13-AE696880A6EE}"/>
    <cellStyle name="40% - Accent5 2 3 7" xfId="4589" xr:uid="{00000000-0005-0000-0000-00007E060000}"/>
    <cellStyle name="40% - Accent5 2 3 7 2" xfId="13028" xr:uid="{3EF27F77-545B-4C8D-98E2-9078F31C430B}"/>
    <cellStyle name="40% - Accent5 2 3 8" xfId="8810" xr:uid="{1452E7BF-0C9E-4C68-B708-F604E9A84044}"/>
    <cellStyle name="40% - Accent5 2 4" xfId="651" xr:uid="{00000000-0005-0000-0000-00007F060000}"/>
    <cellStyle name="40% - Accent5 2 4 2" xfId="2922" xr:uid="{00000000-0005-0000-0000-000080060000}"/>
    <cellStyle name="40% - Accent5 2 4 2 2" xfId="7145" xr:uid="{00000000-0005-0000-0000-000081060000}"/>
    <cellStyle name="40% - Accent5 2 4 2 2 2" xfId="15584" xr:uid="{10F985E8-BBDD-4E0C-AA1B-B633D1CAC47C}"/>
    <cellStyle name="40% - Accent5 2 4 2 3" xfId="11366" xr:uid="{56CAD1B1-C310-42C2-8F18-514095FABAF9}"/>
    <cellStyle name="40% - Accent5 2 4 3" xfId="5000" xr:uid="{00000000-0005-0000-0000-000082060000}"/>
    <cellStyle name="40% - Accent5 2 4 3 2" xfId="13439" xr:uid="{1D126DD4-802C-4364-AF06-9E32D8D93FA7}"/>
    <cellStyle name="40% - Accent5 2 4 4" xfId="9221" xr:uid="{815281CF-CD18-4121-9D60-65A68946A590}"/>
    <cellStyle name="40% - Accent5 2 5" xfId="1104" xr:uid="{00000000-0005-0000-0000-000083060000}"/>
    <cellStyle name="40% - Accent5 2 5 2" xfId="3335" xr:uid="{00000000-0005-0000-0000-000084060000}"/>
    <cellStyle name="40% - Accent5 2 5 2 2" xfId="7558" xr:uid="{00000000-0005-0000-0000-000085060000}"/>
    <cellStyle name="40% - Accent5 2 5 2 2 2" xfId="15997" xr:uid="{906A5BE2-D7BD-4A2D-BBEC-A213E9DCDA99}"/>
    <cellStyle name="40% - Accent5 2 5 2 3" xfId="11779" xr:uid="{6209631E-3D0E-437C-B015-1B213E50A855}"/>
    <cellStyle name="40% - Accent5 2 5 3" xfId="5413" xr:uid="{00000000-0005-0000-0000-000086060000}"/>
    <cellStyle name="40% - Accent5 2 5 3 2" xfId="13852" xr:uid="{576FF539-4D43-445E-8909-20028C5A6F4D}"/>
    <cellStyle name="40% - Accent5 2 5 4" xfId="9634" xr:uid="{6EB0688F-405C-4D3C-847D-48AE35EF65F2}"/>
    <cellStyle name="40% - Accent5 2 6" xfId="1518" xr:uid="{00000000-0005-0000-0000-000087060000}"/>
    <cellStyle name="40% - Accent5 2 6 2" xfId="3748" xr:uid="{00000000-0005-0000-0000-000088060000}"/>
    <cellStyle name="40% - Accent5 2 6 2 2" xfId="7971" xr:uid="{00000000-0005-0000-0000-000089060000}"/>
    <cellStyle name="40% - Accent5 2 6 2 2 2" xfId="16410" xr:uid="{199D6B85-432E-4D3A-897B-EDC9004290BB}"/>
    <cellStyle name="40% - Accent5 2 6 2 3" xfId="12192" xr:uid="{E3A6135D-CFDD-4291-9970-EEDC25FB539F}"/>
    <cellStyle name="40% - Accent5 2 6 3" xfId="5826" xr:uid="{00000000-0005-0000-0000-00008A060000}"/>
    <cellStyle name="40% - Accent5 2 6 3 2" xfId="14265" xr:uid="{07DE1455-B7B1-44CD-958A-7502D8B89414}"/>
    <cellStyle name="40% - Accent5 2 6 4" xfId="10047" xr:uid="{624E2782-7B23-4D8A-ABED-5CE6E80460A3}"/>
    <cellStyle name="40% - Accent5 2 7" xfId="1932" xr:uid="{00000000-0005-0000-0000-00008B060000}"/>
    <cellStyle name="40% - Accent5 2 7 2" xfId="4161" xr:uid="{00000000-0005-0000-0000-00008C060000}"/>
    <cellStyle name="40% - Accent5 2 7 2 2" xfId="8384" xr:uid="{00000000-0005-0000-0000-00008D060000}"/>
    <cellStyle name="40% - Accent5 2 7 2 2 2" xfId="16823" xr:uid="{2974923A-A7F6-4B06-B013-0F1B9F3CE45D}"/>
    <cellStyle name="40% - Accent5 2 7 2 3" xfId="12605" xr:uid="{9824C73D-D2E1-45F9-8E21-321B1E27B4EF}"/>
    <cellStyle name="40% - Accent5 2 7 3" xfId="6239" xr:uid="{00000000-0005-0000-0000-00008E060000}"/>
    <cellStyle name="40% - Accent5 2 7 3 2" xfId="14678" xr:uid="{2F317B9C-5FE7-4F0B-AB0C-6B7032198CBF}"/>
    <cellStyle name="40% - Accent5 2 7 4" xfId="10460" xr:uid="{CC3FB046-1DC8-4ED3-99CD-EAD3DFB90462}"/>
    <cellStyle name="40% - Accent5 2 8" xfId="2345" xr:uid="{00000000-0005-0000-0000-00008F060000}"/>
    <cellStyle name="40% - Accent5 2 8 2" xfId="6652" xr:uid="{00000000-0005-0000-0000-000090060000}"/>
    <cellStyle name="40% - Accent5 2 8 2 2" xfId="15091" xr:uid="{9D94E987-F015-4516-BE88-1C0D4BF18B75}"/>
    <cellStyle name="40% - Accent5 2 8 3" xfId="10873" xr:uid="{B5FA1D13-7EAA-49AB-8E78-28F56AA351DB}"/>
    <cellStyle name="40% - Accent5 2 9" xfId="4586" xr:uid="{00000000-0005-0000-0000-000091060000}"/>
    <cellStyle name="40% - Accent5 2 9 2" xfId="13025" xr:uid="{55683594-B511-4A9C-A3A2-B82072085422}"/>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5589" xr:uid="{DD47593B-65C2-451E-A6F8-EEC5F354B43F}"/>
    <cellStyle name="40% - Accent5 3 2 2 2 3" xfId="11371" xr:uid="{D6BB70B2-1CFE-47AE-BD5D-3DAD431A3B36}"/>
    <cellStyle name="40% - Accent5 3 2 2 3" xfId="5005" xr:uid="{00000000-0005-0000-0000-000097060000}"/>
    <cellStyle name="40% - Accent5 3 2 2 3 2" xfId="13444" xr:uid="{D0F6159B-AB4F-4F85-8ADF-C7736C20993F}"/>
    <cellStyle name="40% - Accent5 3 2 2 4" xfId="9226" xr:uid="{F540003A-FFDF-4F91-B0DE-CE5F4933133B}"/>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16002" xr:uid="{38F1592F-DEF2-4094-B6FA-DDD9A6624DC8}"/>
    <cellStyle name="40% - Accent5 3 2 3 2 3" xfId="11784" xr:uid="{26E0DCD0-B47F-4711-9F5C-B197DE6EE549}"/>
    <cellStyle name="40% - Accent5 3 2 3 3" xfId="5418" xr:uid="{00000000-0005-0000-0000-00009B060000}"/>
    <cellStyle name="40% - Accent5 3 2 3 3 2" xfId="13857" xr:uid="{AE898E14-7348-4C18-AE6E-14BE19DD809C}"/>
    <cellStyle name="40% - Accent5 3 2 3 4" xfId="9639" xr:uid="{2CCE661F-DE21-480E-B5D9-86EB310767E4}"/>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16415" xr:uid="{A26C6D04-7430-4E83-A0FC-284BB01C67CB}"/>
    <cellStyle name="40% - Accent5 3 2 4 2 3" xfId="12197" xr:uid="{5FDBA6AB-F2BF-4303-A7AA-938A03D0F423}"/>
    <cellStyle name="40% - Accent5 3 2 4 3" xfId="5831" xr:uid="{00000000-0005-0000-0000-00009F060000}"/>
    <cellStyle name="40% - Accent5 3 2 4 3 2" xfId="14270" xr:uid="{4E7C1644-56FC-4E01-A47D-04438CC39F3F}"/>
    <cellStyle name="40% - Accent5 3 2 4 4" xfId="10052" xr:uid="{AA3844C8-C5CE-4BD8-A262-A748BD34A3C6}"/>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16828" xr:uid="{6D3FE628-A19B-467D-B1FB-2C4721FC2788}"/>
    <cellStyle name="40% - Accent5 3 2 5 2 3" xfId="12610" xr:uid="{830D712A-0B16-461C-AB9E-9E7D2B5FCDE1}"/>
    <cellStyle name="40% - Accent5 3 2 5 3" xfId="6244" xr:uid="{00000000-0005-0000-0000-0000A3060000}"/>
    <cellStyle name="40% - Accent5 3 2 5 3 2" xfId="14683" xr:uid="{982388D4-F4E0-40AF-BB4A-0048C4195313}"/>
    <cellStyle name="40% - Accent5 3 2 5 4" xfId="10465" xr:uid="{B87E140D-3289-41A7-AB09-B9B58962C014}"/>
    <cellStyle name="40% - Accent5 3 2 6" xfId="2350" xr:uid="{00000000-0005-0000-0000-0000A4060000}"/>
    <cellStyle name="40% - Accent5 3 2 6 2" xfId="6657" xr:uid="{00000000-0005-0000-0000-0000A5060000}"/>
    <cellStyle name="40% - Accent5 3 2 6 2 2" xfId="15096" xr:uid="{446B706F-3B7A-4D18-9D88-22773AE7D71C}"/>
    <cellStyle name="40% - Accent5 3 2 6 3" xfId="10878" xr:uid="{C8AD1D32-0D6A-4236-A62B-7E5512623A12}"/>
    <cellStyle name="40% - Accent5 3 2 7" xfId="4591" xr:uid="{00000000-0005-0000-0000-0000A6060000}"/>
    <cellStyle name="40% - Accent5 3 2 7 2" xfId="13030" xr:uid="{3AE40A18-22D1-4B28-840A-BBB70E012BEC}"/>
    <cellStyle name="40% - Accent5 3 2 8" xfId="8812" xr:uid="{565D4E30-E5F8-4B06-B4A3-733CCD3B29E9}"/>
    <cellStyle name="40% - Accent5 3 3" xfId="655" xr:uid="{00000000-0005-0000-0000-0000A7060000}"/>
    <cellStyle name="40% - Accent5 3 3 2" xfId="2926" xr:uid="{00000000-0005-0000-0000-0000A8060000}"/>
    <cellStyle name="40% - Accent5 3 3 2 2" xfId="7149" xr:uid="{00000000-0005-0000-0000-0000A9060000}"/>
    <cellStyle name="40% - Accent5 3 3 2 2 2" xfId="15588" xr:uid="{F9FA254E-2769-47BF-B93C-37F5E81FCF70}"/>
    <cellStyle name="40% - Accent5 3 3 2 3" xfId="11370" xr:uid="{6E15E528-12DD-4C80-B098-721A5FAB7302}"/>
    <cellStyle name="40% - Accent5 3 3 3" xfId="5004" xr:uid="{00000000-0005-0000-0000-0000AA060000}"/>
    <cellStyle name="40% - Accent5 3 3 3 2" xfId="13443" xr:uid="{EFC10EE1-59CC-421C-99C4-1723760771A5}"/>
    <cellStyle name="40% - Accent5 3 3 4" xfId="9225" xr:uid="{076C5437-B549-4934-B64D-5AEF401B3F2C}"/>
    <cellStyle name="40% - Accent5 3 4" xfId="1108" xr:uid="{00000000-0005-0000-0000-0000AB060000}"/>
    <cellStyle name="40% - Accent5 3 4 2" xfId="3339" xr:uid="{00000000-0005-0000-0000-0000AC060000}"/>
    <cellStyle name="40% - Accent5 3 4 2 2" xfId="7562" xr:uid="{00000000-0005-0000-0000-0000AD060000}"/>
    <cellStyle name="40% - Accent5 3 4 2 2 2" xfId="16001" xr:uid="{E90193C1-D092-4E9E-968E-E262AEFEEDF0}"/>
    <cellStyle name="40% - Accent5 3 4 2 3" xfId="11783" xr:uid="{E268E88A-2B6F-4ADC-B7F4-6A5E25232025}"/>
    <cellStyle name="40% - Accent5 3 4 3" xfId="5417" xr:uid="{00000000-0005-0000-0000-0000AE060000}"/>
    <cellStyle name="40% - Accent5 3 4 3 2" xfId="13856" xr:uid="{C534FB97-307C-4AFC-A7E7-12095C4E976E}"/>
    <cellStyle name="40% - Accent5 3 4 4" xfId="9638" xr:uid="{B3238581-E1E4-46FE-828D-32B10EC3399C}"/>
    <cellStyle name="40% - Accent5 3 5" xfId="1522" xr:uid="{00000000-0005-0000-0000-0000AF060000}"/>
    <cellStyle name="40% - Accent5 3 5 2" xfId="3752" xr:uid="{00000000-0005-0000-0000-0000B0060000}"/>
    <cellStyle name="40% - Accent5 3 5 2 2" xfId="7975" xr:uid="{00000000-0005-0000-0000-0000B1060000}"/>
    <cellStyle name="40% - Accent5 3 5 2 2 2" xfId="16414" xr:uid="{7D238D45-C942-4A5B-89C8-546CC4432C0D}"/>
    <cellStyle name="40% - Accent5 3 5 2 3" xfId="12196" xr:uid="{1AB6FC89-4BD0-4C9D-B661-EB592F160E9F}"/>
    <cellStyle name="40% - Accent5 3 5 3" xfId="5830" xr:uid="{00000000-0005-0000-0000-0000B2060000}"/>
    <cellStyle name="40% - Accent5 3 5 3 2" xfId="14269" xr:uid="{4DDAC4D4-B13B-4141-AF19-31B947722961}"/>
    <cellStyle name="40% - Accent5 3 5 4" xfId="10051" xr:uid="{632342B5-3A76-4CE1-942B-6CA7EFB39B56}"/>
    <cellStyle name="40% - Accent5 3 6" xfId="1936" xr:uid="{00000000-0005-0000-0000-0000B3060000}"/>
    <cellStyle name="40% - Accent5 3 6 2" xfId="4165" xr:uid="{00000000-0005-0000-0000-0000B4060000}"/>
    <cellStyle name="40% - Accent5 3 6 2 2" xfId="8388" xr:uid="{00000000-0005-0000-0000-0000B5060000}"/>
    <cellStyle name="40% - Accent5 3 6 2 2 2" xfId="16827" xr:uid="{B215853B-A7F3-4ABC-BF5A-FB0D0503A1DB}"/>
    <cellStyle name="40% - Accent5 3 6 2 3" xfId="12609" xr:uid="{4FDA6ECB-15EB-4097-9FCE-530FF428BFD4}"/>
    <cellStyle name="40% - Accent5 3 6 3" xfId="6243" xr:uid="{00000000-0005-0000-0000-0000B6060000}"/>
    <cellStyle name="40% - Accent5 3 6 3 2" xfId="14682" xr:uid="{2728F79A-7A4F-4EB7-AEE7-B226C5A06013}"/>
    <cellStyle name="40% - Accent5 3 6 4" xfId="10464" xr:uid="{8FB5EFA0-FC13-4EBB-86CE-357348871844}"/>
    <cellStyle name="40% - Accent5 3 7" xfId="2349" xr:uid="{00000000-0005-0000-0000-0000B7060000}"/>
    <cellStyle name="40% - Accent5 3 7 2" xfId="6656" xr:uid="{00000000-0005-0000-0000-0000B8060000}"/>
    <cellStyle name="40% - Accent5 3 7 2 2" xfId="15095" xr:uid="{1902E452-E859-471A-BE40-621DD679CC86}"/>
    <cellStyle name="40% - Accent5 3 7 3" xfId="10877" xr:uid="{0BBD3BB0-804D-4E2A-8FC2-BAD9DA4C4D47}"/>
    <cellStyle name="40% - Accent5 3 8" xfId="4590" xr:uid="{00000000-0005-0000-0000-0000B9060000}"/>
    <cellStyle name="40% - Accent5 3 8 2" xfId="13029" xr:uid="{5099E154-9760-4686-AAA5-BDCCC53828EB}"/>
    <cellStyle name="40% - Accent5 3 9" xfId="8811" xr:uid="{D584551D-C4EF-4D41-964F-137ED5630A09}"/>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15590" xr:uid="{56ECD889-01C8-4FA0-84A1-24A135267870}"/>
    <cellStyle name="40% - Accent5 4 2 2 3" xfId="11372" xr:uid="{73AD5CF3-7B2C-4B8F-86E4-CE9F77CA246F}"/>
    <cellStyle name="40% - Accent5 4 2 3" xfId="5006" xr:uid="{00000000-0005-0000-0000-0000BE060000}"/>
    <cellStyle name="40% - Accent5 4 2 3 2" xfId="13445" xr:uid="{6822AAA7-1C54-45E6-896D-D12599747576}"/>
    <cellStyle name="40% - Accent5 4 2 4" xfId="9227" xr:uid="{B1DF2797-AFB9-4DA1-AFC7-800AAA599D0B}"/>
    <cellStyle name="40% - Accent5 4 3" xfId="1110" xr:uid="{00000000-0005-0000-0000-0000BF060000}"/>
    <cellStyle name="40% - Accent5 4 3 2" xfId="3341" xr:uid="{00000000-0005-0000-0000-0000C0060000}"/>
    <cellStyle name="40% - Accent5 4 3 2 2" xfId="7564" xr:uid="{00000000-0005-0000-0000-0000C1060000}"/>
    <cellStyle name="40% - Accent5 4 3 2 2 2" xfId="16003" xr:uid="{FD656528-FB2E-42CB-BD2F-8CD250587BA2}"/>
    <cellStyle name="40% - Accent5 4 3 2 3" xfId="11785" xr:uid="{7BDC6702-A23D-40F6-8D23-E87168CBBE3C}"/>
    <cellStyle name="40% - Accent5 4 3 3" xfId="5419" xr:uid="{00000000-0005-0000-0000-0000C2060000}"/>
    <cellStyle name="40% - Accent5 4 3 3 2" xfId="13858" xr:uid="{EEB4626F-A888-4834-B9C8-1209BB25B46E}"/>
    <cellStyle name="40% - Accent5 4 3 4" xfId="9640" xr:uid="{3149FDEC-63AB-4DAB-993B-A9D303BF1940}"/>
    <cellStyle name="40% - Accent5 4 4" xfId="1524" xr:uid="{00000000-0005-0000-0000-0000C3060000}"/>
    <cellStyle name="40% - Accent5 4 4 2" xfId="3754" xr:uid="{00000000-0005-0000-0000-0000C4060000}"/>
    <cellStyle name="40% - Accent5 4 4 2 2" xfId="7977" xr:uid="{00000000-0005-0000-0000-0000C5060000}"/>
    <cellStyle name="40% - Accent5 4 4 2 2 2" xfId="16416" xr:uid="{274143A2-D1FE-451B-B4C5-319C4E57035A}"/>
    <cellStyle name="40% - Accent5 4 4 2 3" xfId="12198" xr:uid="{AE4BFDE8-C1C1-4E10-B280-2D05BC62578C}"/>
    <cellStyle name="40% - Accent5 4 4 3" xfId="5832" xr:uid="{00000000-0005-0000-0000-0000C6060000}"/>
    <cellStyle name="40% - Accent5 4 4 3 2" xfId="14271" xr:uid="{1E62AC36-7E11-4ABE-A35A-18E06F9A679E}"/>
    <cellStyle name="40% - Accent5 4 4 4" xfId="10053" xr:uid="{853D8D7C-3A77-4A3B-B409-3411218A5E51}"/>
    <cellStyle name="40% - Accent5 4 5" xfId="1938" xr:uid="{00000000-0005-0000-0000-0000C7060000}"/>
    <cellStyle name="40% - Accent5 4 5 2" xfId="4167" xr:uid="{00000000-0005-0000-0000-0000C8060000}"/>
    <cellStyle name="40% - Accent5 4 5 2 2" xfId="8390" xr:uid="{00000000-0005-0000-0000-0000C9060000}"/>
    <cellStyle name="40% - Accent5 4 5 2 2 2" xfId="16829" xr:uid="{1F0D0E32-C226-48B6-8B38-D4C7D4FB2C85}"/>
    <cellStyle name="40% - Accent5 4 5 2 3" xfId="12611" xr:uid="{0F81E48B-76A7-46D6-83B1-B333945F1921}"/>
    <cellStyle name="40% - Accent5 4 5 3" xfId="6245" xr:uid="{00000000-0005-0000-0000-0000CA060000}"/>
    <cellStyle name="40% - Accent5 4 5 3 2" xfId="14684" xr:uid="{B862891C-05B1-4689-8963-0C4CDC89D66B}"/>
    <cellStyle name="40% - Accent5 4 5 4" xfId="10466" xr:uid="{B498C1FC-BE90-4808-8224-919700D99071}"/>
    <cellStyle name="40% - Accent5 4 6" xfId="2351" xr:uid="{00000000-0005-0000-0000-0000CB060000}"/>
    <cellStyle name="40% - Accent5 4 6 2" xfId="6658" xr:uid="{00000000-0005-0000-0000-0000CC060000}"/>
    <cellStyle name="40% - Accent5 4 6 2 2" xfId="15097" xr:uid="{A88D6F85-DDDB-4F1D-AF35-9E2F9706F7BA}"/>
    <cellStyle name="40% - Accent5 4 6 3" xfId="10879" xr:uid="{8191C991-B061-48D9-8AF5-CF60AE11BD4E}"/>
    <cellStyle name="40% - Accent5 4 7" xfId="4592" xr:uid="{00000000-0005-0000-0000-0000CD060000}"/>
    <cellStyle name="40% - Accent5 4 7 2" xfId="13031" xr:uid="{629C8C22-8BA6-406C-8A6B-313CF4ECAD2A}"/>
    <cellStyle name="40% - Accent5 4 8" xfId="8813" xr:uid="{77E55A57-0C79-482D-9A26-7E6224AF9DCE}"/>
    <cellStyle name="40% - Accent5 5" xfId="650" xr:uid="{00000000-0005-0000-0000-0000CE060000}"/>
    <cellStyle name="40% - Accent5 5 2" xfId="2921" xr:uid="{00000000-0005-0000-0000-0000CF060000}"/>
    <cellStyle name="40% - Accent5 5 2 2" xfId="7144" xr:uid="{00000000-0005-0000-0000-0000D0060000}"/>
    <cellStyle name="40% - Accent5 5 2 2 2" xfId="15583" xr:uid="{2C0B7608-5A9E-4B1B-92B2-85E3122433F7}"/>
    <cellStyle name="40% - Accent5 5 2 3" xfId="11365" xr:uid="{D0171809-CD04-4EAE-9E71-CF1AA7BE3A56}"/>
    <cellStyle name="40% - Accent5 5 3" xfId="4999" xr:uid="{00000000-0005-0000-0000-0000D1060000}"/>
    <cellStyle name="40% - Accent5 5 3 2" xfId="13438" xr:uid="{E4C52870-1792-454C-9CC8-60EBA14EEFC6}"/>
    <cellStyle name="40% - Accent5 5 4" xfId="9220" xr:uid="{6DACF940-632A-4E0D-9685-3F10B09BEDBC}"/>
    <cellStyle name="40% - Accent5 6" xfId="1103" xr:uid="{00000000-0005-0000-0000-0000D2060000}"/>
    <cellStyle name="40% - Accent5 6 2" xfId="3334" xr:uid="{00000000-0005-0000-0000-0000D3060000}"/>
    <cellStyle name="40% - Accent5 6 2 2" xfId="7557" xr:uid="{00000000-0005-0000-0000-0000D4060000}"/>
    <cellStyle name="40% - Accent5 6 2 2 2" xfId="15996" xr:uid="{FD58EB9D-9CF5-46ED-8045-90B6E0EED686}"/>
    <cellStyle name="40% - Accent5 6 2 3" xfId="11778" xr:uid="{6B3A04F2-C2F0-4E8A-B92A-22C4C979DDF7}"/>
    <cellStyle name="40% - Accent5 6 3" xfId="5412" xr:uid="{00000000-0005-0000-0000-0000D5060000}"/>
    <cellStyle name="40% - Accent5 6 3 2" xfId="13851" xr:uid="{70ACD5DB-AB11-4A32-9F17-218B233BAF6F}"/>
    <cellStyle name="40% - Accent5 6 4" xfId="9633" xr:uid="{41CB56D9-376A-4D59-B032-4B4430BC8DE6}"/>
    <cellStyle name="40% - Accent5 7" xfId="1517" xr:uid="{00000000-0005-0000-0000-0000D6060000}"/>
    <cellStyle name="40% - Accent5 7 2" xfId="3747" xr:uid="{00000000-0005-0000-0000-0000D7060000}"/>
    <cellStyle name="40% - Accent5 7 2 2" xfId="7970" xr:uid="{00000000-0005-0000-0000-0000D8060000}"/>
    <cellStyle name="40% - Accent5 7 2 2 2" xfId="16409" xr:uid="{335FF093-D91D-49B2-AE04-00D6B44CF224}"/>
    <cellStyle name="40% - Accent5 7 2 3" xfId="12191" xr:uid="{1CEF8EAE-C003-4656-B8F3-BE1515FF6010}"/>
    <cellStyle name="40% - Accent5 7 3" xfId="5825" xr:uid="{00000000-0005-0000-0000-0000D9060000}"/>
    <cellStyle name="40% - Accent5 7 3 2" xfId="14264" xr:uid="{A197AD46-2163-4622-A698-F9A1BAF20C15}"/>
    <cellStyle name="40% - Accent5 7 4" xfId="10046" xr:uid="{C5B1174D-C8BE-40A6-96A5-F19DA031FA0F}"/>
    <cellStyle name="40% - Accent5 8" xfId="1931" xr:uid="{00000000-0005-0000-0000-0000DA060000}"/>
    <cellStyle name="40% - Accent5 8 2" xfId="4160" xr:uid="{00000000-0005-0000-0000-0000DB060000}"/>
    <cellStyle name="40% - Accent5 8 2 2" xfId="8383" xr:uid="{00000000-0005-0000-0000-0000DC060000}"/>
    <cellStyle name="40% - Accent5 8 2 2 2" xfId="16822" xr:uid="{274E3438-CC37-497F-A6FE-7E9C274DE882}"/>
    <cellStyle name="40% - Accent5 8 2 3" xfId="12604" xr:uid="{CFBB4C11-F604-40B6-B6CA-63FB7E490BD2}"/>
    <cellStyle name="40% - Accent5 8 3" xfId="6238" xr:uid="{00000000-0005-0000-0000-0000DD060000}"/>
    <cellStyle name="40% - Accent5 8 3 2" xfId="14677" xr:uid="{40C8AAD1-9E2E-44D8-B60B-126A9AAEDE93}"/>
    <cellStyle name="40% - Accent5 8 4" xfId="10459" xr:uid="{F46481AA-0FE5-44C3-991A-0A142463509B}"/>
    <cellStyle name="40% - Accent5 9" xfId="2344" xr:uid="{00000000-0005-0000-0000-0000DE060000}"/>
    <cellStyle name="40% - Accent5 9 2" xfId="6651" xr:uid="{00000000-0005-0000-0000-0000DF060000}"/>
    <cellStyle name="40% - Accent5 9 2 2" xfId="15090" xr:uid="{9AAFC72D-2F12-4377-B95B-C1FAECDE8EA1}"/>
    <cellStyle name="40% - Accent5 9 3" xfId="10872" xr:uid="{C97057D4-AEB1-4715-B6A2-6AA021875D7C}"/>
    <cellStyle name="40% - Accent6" xfId="89" builtinId="51" customBuiltin="1"/>
    <cellStyle name="40% - Accent6 10" xfId="4593" xr:uid="{00000000-0005-0000-0000-0000E1060000}"/>
    <cellStyle name="40% - Accent6 10 2" xfId="13032" xr:uid="{50BA5B9B-B640-4EFB-B1F3-6266E7D92128}"/>
    <cellStyle name="40% - Accent6 11" xfId="8814" xr:uid="{DDB04730-9E7D-485F-A916-C2D4CB22F0B9}"/>
    <cellStyle name="40% - Accent6 2" xfId="90" xr:uid="{00000000-0005-0000-0000-0000E2060000}"/>
    <cellStyle name="40% - Accent6 2 10" xfId="8815" xr:uid="{0E8C5D93-82F0-4B91-8FB0-CD27BB2CDD9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5594" xr:uid="{43ADBF5E-30DB-4590-A014-C5F8D5164A99}"/>
    <cellStyle name="40% - Accent6 2 2 2 2 2 3" xfId="11376" xr:uid="{52856923-5FF8-40F5-9DF8-F61CD1AC4933}"/>
    <cellStyle name="40% - Accent6 2 2 2 2 3" xfId="5010" xr:uid="{00000000-0005-0000-0000-0000E8060000}"/>
    <cellStyle name="40% - Accent6 2 2 2 2 3 2" xfId="13449" xr:uid="{74842065-BE2E-445B-ABCF-4976FDA79B5D}"/>
    <cellStyle name="40% - Accent6 2 2 2 2 4" xfId="9231" xr:uid="{EC3072A6-DCFE-426A-9083-1513EB3DE0A5}"/>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16007" xr:uid="{56459642-413A-4450-9078-F3ECDC01DEF4}"/>
    <cellStyle name="40% - Accent6 2 2 2 3 2 3" xfId="11789" xr:uid="{8FED86B3-4704-48FD-AA75-0D504345BD2B}"/>
    <cellStyle name="40% - Accent6 2 2 2 3 3" xfId="5423" xr:uid="{00000000-0005-0000-0000-0000EC060000}"/>
    <cellStyle name="40% - Accent6 2 2 2 3 3 2" xfId="13862" xr:uid="{A8B36CF0-FD97-41A3-972F-233149777C93}"/>
    <cellStyle name="40% - Accent6 2 2 2 3 4" xfId="9644" xr:uid="{A65308E7-8EAC-4BB0-8CD5-CF1483E9ECA2}"/>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16420" xr:uid="{2E7BCD6F-D493-452B-853C-CE85A29D7356}"/>
    <cellStyle name="40% - Accent6 2 2 2 4 2 3" xfId="12202" xr:uid="{9AD7C358-17C3-4DB7-82F8-02029AD2D418}"/>
    <cellStyle name="40% - Accent6 2 2 2 4 3" xfId="5836" xr:uid="{00000000-0005-0000-0000-0000F0060000}"/>
    <cellStyle name="40% - Accent6 2 2 2 4 3 2" xfId="14275" xr:uid="{625631D7-323E-4702-89A4-DA8B9402DC9D}"/>
    <cellStyle name="40% - Accent6 2 2 2 4 4" xfId="10057" xr:uid="{DD0B78D6-E505-44EC-932E-314A7FFB08FB}"/>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16833" xr:uid="{2100756D-A004-41BA-BC44-C1E391B03FA3}"/>
    <cellStyle name="40% - Accent6 2 2 2 5 2 3" xfId="12615" xr:uid="{07473CE9-7CA6-467F-BBBF-6A78A6F22535}"/>
    <cellStyle name="40% - Accent6 2 2 2 5 3" xfId="6249" xr:uid="{00000000-0005-0000-0000-0000F4060000}"/>
    <cellStyle name="40% - Accent6 2 2 2 5 3 2" xfId="14688" xr:uid="{4535AF36-ED24-4114-A8B8-7BD5447F3FDB}"/>
    <cellStyle name="40% - Accent6 2 2 2 5 4" xfId="10470" xr:uid="{C43B4906-FA5D-4F9A-8D2E-C8D6EA183622}"/>
    <cellStyle name="40% - Accent6 2 2 2 6" xfId="2355" xr:uid="{00000000-0005-0000-0000-0000F5060000}"/>
    <cellStyle name="40% - Accent6 2 2 2 6 2" xfId="6662" xr:uid="{00000000-0005-0000-0000-0000F6060000}"/>
    <cellStyle name="40% - Accent6 2 2 2 6 2 2" xfId="15101" xr:uid="{05EFA486-CC96-43B0-8B72-358C5E9370B5}"/>
    <cellStyle name="40% - Accent6 2 2 2 6 3" xfId="10883" xr:uid="{6EE1728D-27CC-4D1C-808B-95920C03F399}"/>
    <cellStyle name="40% - Accent6 2 2 2 7" xfId="4596" xr:uid="{00000000-0005-0000-0000-0000F7060000}"/>
    <cellStyle name="40% - Accent6 2 2 2 7 2" xfId="13035" xr:uid="{22F2B473-41D2-43AE-9A8D-D9B55F27AAEF}"/>
    <cellStyle name="40% - Accent6 2 2 2 8" xfId="8817" xr:uid="{0FD158A5-DBAC-427C-AF22-DE73F26B6D9E}"/>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5593" xr:uid="{06BB17CD-5C5F-41D6-8BB4-FFA6245D7F97}"/>
    <cellStyle name="40% - Accent6 2 2 3 2 3" xfId="11375" xr:uid="{E231A088-037B-42EC-B9DF-86063B5EBEF8}"/>
    <cellStyle name="40% - Accent6 2 2 3 3" xfId="5009" xr:uid="{00000000-0005-0000-0000-0000FB060000}"/>
    <cellStyle name="40% - Accent6 2 2 3 3 2" xfId="13448" xr:uid="{346FE2D4-F1C6-46B5-B8C0-86CDF07F3A6D}"/>
    <cellStyle name="40% - Accent6 2 2 3 4" xfId="9230" xr:uid="{A0CD60CD-4F9D-47D0-B7D5-A9FAA657313D}"/>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16006" xr:uid="{460E2865-F423-4675-82BC-F9F9C20D0EFA}"/>
    <cellStyle name="40% - Accent6 2 2 4 2 3" xfId="11788" xr:uid="{3135D93F-2A56-47A4-B297-A40FDFA40E0C}"/>
    <cellStyle name="40% - Accent6 2 2 4 3" xfId="5422" xr:uid="{00000000-0005-0000-0000-0000FF060000}"/>
    <cellStyle name="40% - Accent6 2 2 4 3 2" xfId="13861" xr:uid="{0E53E3A3-12CC-45A8-BC97-535B205AEB64}"/>
    <cellStyle name="40% - Accent6 2 2 4 4" xfId="9643" xr:uid="{A52115AC-B8C2-4A4D-A74E-880650B9A239}"/>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16419" xr:uid="{C9749E8A-D5A8-49F2-BC5D-5D465B99492F}"/>
    <cellStyle name="40% - Accent6 2 2 5 2 3" xfId="12201" xr:uid="{EB5F7960-1146-46D4-A71E-56C129504212}"/>
    <cellStyle name="40% - Accent6 2 2 5 3" xfId="5835" xr:uid="{00000000-0005-0000-0000-000003070000}"/>
    <cellStyle name="40% - Accent6 2 2 5 3 2" xfId="14274" xr:uid="{2F13481D-7183-4EE8-9A42-7042954EC934}"/>
    <cellStyle name="40% - Accent6 2 2 5 4" xfId="10056" xr:uid="{9B765968-671F-47F7-82BD-119CDDA0C603}"/>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16832" xr:uid="{4EA83C20-98A9-4021-836A-89599EAE0F6A}"/>
    <cellStyle name="40% - Accent6 2 2 6 2 3" xfId="12614" xr:uid="{C0A57A27-4245-460F-899C-A2A3C7FE40A6}"/>
    <cellStyle name="40% - Accent6 2 2 6 3" xfId="6248" xr:uid="{00000000-0005-0000-0000-000007070000}"/>
    <cellStyle name="40% - Accent6 2 2 6 3 2" xfId="14687" xr:uid="{16949989-6298-4945-B43E-9BAB9E96D32B}"/>
    <cellStyle name="40% - Accent6 2 2 6 4" xfId="10469" xr:uid="{EF9DEF5D-FDBD-4AC8-95E7-8E577A7A7134}"/>
    <cellStyle name="40% - Accent6 2 2 7" xfId="2354" xr:uid="{00000000-0005-0000-0000-000008070000}"/>
    <cellStyle name="40% - Accent6 2 2 7 2" xfId="6661" xr:uid="{00000000-0005-0000-0000-000009070000}"/>
    <cellStyle name="40% - Accent6 2 2 7 2 2" xfId="15100" xr:uid="{9D92263B-C2CE-4BC1-9CE6-23ACB98DF669}"/>
    <cellStyle name="40% - Accent6 2 2 7 3" xfId="10882" xr:uid="{F1C8D005-D17E-4B80-A5E0-C7703C817321}"/>
    <cellStyle name="40% - Accent6 2 2 8" xfId="4595" xr:uid="{00000000-0005-0000-0000-00000A070000}"/>
    <cellStyle name="40% - Accent6 2 2 8 2" xfId="13034" xr:uid="{B9758747-9A85-4ECB-8A0E-679655535BD2}"/>
    <cellStyle name="40% - Accent6 2 2 9" xfId="8816" xr:uid="{A2E35FA2-12FE-4C54-992F-E30C5386C8B9}"/>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5595" xr:uid="{60E0F761-C132-44FC-8DD0-2843E41F2E54}"/>
    <cellStyle name="40% - Accent6 2 3 2 2 3" xfId="11377" xr:uid="{701BA2F2-6A94-431C-8BD8-4C18F6C89C76}"/>
    <cellStyle name="40% - Accent6 2 3 2 3" xfId="5011" xr:uid="{00000000-0005-0000-0000-00000F070000}"/>
    <cellStyle name="40% - Accent6 2 3 2 3 2" xfId="13450" xr:uid="{068A6D2B-AC0E-4293-A8C6-7E95A02B2BA4}"/>
    <cellStyle name="40% - Accent6 2 3 2 4" xfId="9232" xr:uid="{1D499A79-41A1-43A2-BBEC-2D21A5A9E2A7}"/>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16008" xr:uid="{732B0E3C-58F5-473B-A8AE-FE1C1CCF4B9A}"/>
    <cellStyle name="40% - Accent6 2 3 3 2 3" xfId="11790" xr:uid="{00B8D7C2-FD8C-4861-BA89-DB555B31B1EB}"/>
    <cellStyle name="40% - Accent6 2 3 3 3" xfId="5424" xr:uid="{00000000-0005-0000-0000-000013070000}"/>
    <cellStyle name="40% - Accent6 2 3 3 3 2" xfId="13863" xr:uid="{6B9DC335-083A-4D03-8370-B2740F556036}"/>
    <cellStyle name="40% - Accent6 2 3 3 4" xfId="9645" xr:uid="{5D2921AF-64B1-42CF-B5B0-92F4A123F73B}"/>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16421" xr:uid="{DCE81506-1496-40D6-8D54-3ECBE10445A2}"/>
    <cellStyle name="40% - Accent6 2 3 4 2 3" xfId="12203" xr:uid="{41D03E05-7847-477E-BF66-DE978486209E}"/>
    <cellStyle name="40% - Accent6 2 3 4 3" xfId="5837" xr:uid="{00000000-0005-0000-0000-000017070000}"/>
    <cellStyle name="40% - Accent6 2 3 4 3 2" xfId="14276" xr:uid="{A4483C11-0055-4754-940B-9FBF5FAAF0D6}"/>
    <cellStyle name="40% - Accent6 2 3 4 4" xfId="10058" xr:uid="{517CA2FE-F215-4A97-B2D9-52BB51EBDB35}"/>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16834" xr:uid="{26CE8EED-8859-43A2-A226-EF234F3821B8}"/>
    <cellStyle name="40% - Accent6 2 3 5 2 3" xfId="12616" xr:uid="{4E2FA48B-E436-4402-B121-C23E669CFD10}"/>
    <cellStyle name="40% - Accent6 2 3 5 3" xfId="6250" xr:uid="{00000000-0005-0000-0000-00001B070000}"/>
    <cellStyle name="40% - Accent6 2 3 5 3 2" xfId="14689" xr:uid="{5A4C1CF4-5CB6-4B45-AADD-98EF8EC07589}"/>
    <cellStyle name="40% - Accent6 2 3 5 4" xfId="10471" xr:uid="{93A6030B-E598-48D5-8DBB-9BDFB62D39D4}"/>
    <cellStyle name="40% - Accent6 2 3 6" xfId="2356" xr:uid="{00000000-0005-0000-0000-00001C070000}"/>
    <cellStyle name="40% - Accent6 2 3 6 2" xfId="6663" xr:uid="{00000000-0005-0000-0000-00001D070000}"/>
    <cellStyle name="40% - Accent6 2 3 6 2 2" xfId="15102" xr:uid="{E4D19201-3C1B-46EC-974B-20C092FA0A15}"/>
    <cellStyle name="40% - Accent6 2 3 6 3" xfId="10884" xr:uid="{3268B8E0-4676-46CF-8F29-C3BFCEE193BA}"/>
    <cellStyle name="40% - Accent6 2 3 7" xfId="4597" xr:uid="{00000000-0005-0000-0000-00001E070000}"/>
    <cellStyle name="40% - Accent6 2 3 7 2" xfId="13036" xr:uid="{AAE57F0C-DD7A-4237-8250-1BE5CA4AA0D9}"/>
    <cellStyle name="40% - Accent6 2 3 8" xfId="8818" xr:uid="{920DFF20-3877-449E-BF66-641704FFDF02}"/>
    <cellStyle name="40% - Accent6 2 4" xfId="659" xr:uid="{00000000-0005-0000-0000-00001F070000}"/>
    <cellStyle name="40% - Accent6 2 4 2" xfId="2930" xr:uid="{00000000-0005-0000-0000-000020070000}"/>
    <cellStyle name="40% - Accent6 2 4 2 2" xfId="7153" xr:uid="{00000000-0005-0000-0000-000021070000}"/>
    <cellStyle name="40% - Accent6 2 4 2 2 2" xfId="15592" xr:uid="{5656DBB2-0E91-44AB-97A1-CEF827F880CE}"/>
    <cellStyle name="40% - Accent6 2 4 2 3" xfId="11374" xr:uid="{B4012E5A-F00B-4A30-82C8-0D67064F3EF2}"/>
    <cellStyle name="40% - Accent6 2 4 3" xfId="5008" xr:uid="{00000000-0005-0000-0000-000022070000}"/>
    <cellStyle name="40% - Accent6 2 4 3 2" xfId="13447" xr:uid="{BCED9C9B-3374-459B-923D-EB81636872F7}"/>
    <cellStyle name="40% - Accent6 2 4 4" xfId="9229" xr:uid="{04E0F641-05D5-4161-9AE3-3A0A2F6654E4}"/>
    <cellStyle name="40% - Accent6 2 5" xfId="1112" xr:uid="{00000000-0005-0000-0000-000023070000}"/>
    <cellStyle name="40% - Accent6 2 5 2" xfId="3343" xr:uid="{00000000-0005-0000-0000-000024070000}"/>
    <cellStyle name="40% - Accent6 2 5 2 2" xfId="7566" xr:uid="{00000000-0005-0000-0000-000025070000}"/>
    <cellStyle name="40% - Accent6 2 5 2 2 2" xfId="16005" xr:uid="{A39159D1-9C78-4848-95A4-7AE7CE82EA9C}"/>
    <cellStyle name="40% - Accent6 2 5 2 3" xfId="11787" xr:uid="{ADB51798-7B1A-4CE3-AE2D-93FFBC0897A5}"/>
    <cellStyle name="40% - Accent6 2 5 3" xfId="5421" xr:uid="{00000000-0005-0000-0000-000026070000}"/>
    <cellStyle name="40% - Accent6 2 5 3 2" xfId="13860" xr:uid="{B25548B7-8727-4D82-AA66-2CAB31495D5C}"/>
    <cellStyle name="40% - Accent6 2 5 4" xfId="9642" xr:uid="{9954377B-CD41-4EC6-82F5-177427BD91E0}"/>
    <cellStyle name="40% - Accent6 2 6" xfId="1526" xr:uid="{00000000-0005-0000-0000-000027070000}"/>
    <cellStyle name="40% - Accent6 2 6 2" xfId="3756" xr:uid="{00000000-0005-0000-0000-000028070000}"/>
    <cellStyle name="40% - Accent6 2 6 2 2" xfId="7979" xr:uid="{00000000-0005-0000-0000-000029070000}"/>
    <cellStyle name="40% - Accent6 2 6 2 2 2" xfId="16418" xr:uid="{414FBAB7-EA0D-4408-8199-8D5A98871ADC}"/>
    <cellStyle name="40% - Accent6 2 6 2 3" xfId="12200" xr:uid="{3876AAE3-58F0-4033-9977-4965466F2FE2}"/>
    <cellStyle name="40% - Accent6 2 6 3" xfId="5834" xr:uid="{00000000-0005-0000-0000-00002A070000}"/>
    <cellStyle name="40% - Accent6 2 6 3 2" xfId="14273" xr:uid="{F08C6063-CA07-4442-958A-36AF5752A52F}"/>
    <cellStyle name="40% - Accent6 2 6 4" xfId="10055" xr:uid="{76FC9D58-59DC-45B6-93E7-2007BECAF7B5}"/>
    <cellStyle name="40% - Accent6 2 7" xfId="1940" xr:uid="{00000000-0005-0000-0000-00002B070000}"/>
    <cellStyle name="40% - Accent6 2 7 2" xfId="4169" xr:uid="{00000000-0005-0000-0000-00002C070000}"/>
    <cellStyle name="40% - Accent6 2 7 2 2" xfId="8392" xr:uid="{00000000-0005-0000-0000-00002D070000}"/>
    <cellStyle name="40% - Accent6 2 7 2 2 2" xfId="16831" xr:uid="{BA86DF0F-53C4-4DCE-A939-8A986B0C619F}"/>
    <cellStyle name="40% - Accent6 2 7 2 3" xfId="12613" xr:uid="{1AA4287D-528A-4A19-90EB-76C044AA34E9}"/>
    <cellStyle name="40% - Accent6 2 7 3" xfId="6247" xr:uid="{00000000-0005-0000-0000-00002E070000}"/>
    <cellStyle name="40% - Accent6 2 7 3 2" xfId="14686" xr:uid="{884665AC-E91B-401E-89AA-0499C412884C}"/>
    <cellStyle name="40% - Accent6 2 7 4" xfId="10468" xr:uid="{1272DA54-2F82-4919-987A-099626AF35A7}"/>
    <cellStyle name="40% - Accent6 2 8" xfId="2353" xr:uid="{00000000-0005-0000-0000-00002F070000}"/>
    <cellStyle name="40% - Accent6 2 8 2" xfId="6660" xr:uid="{00000000-0005-0000-0000-000030070000}"/>
    <cellStyle name="40% - Accent6 2 8 2 2" xfId="15099" xr:uid="{7892D826-2B19-4C5B-8898-CEF02D3366C3}"/>
    <cellStyle name="40% - Accent6 2 8 3" xfId="10881" xr:uid="{6554954D-632D-4C6A-B05C-B6E64B8D02FD}"/>
    <cellStyle name="40% - Accent6 2 9" xfId="4594" xr:uid="{00000000-0005-0000-0000-000031070000}"/>
    <cellStyle name="40% - Accent6 2 9 2" xfId="13033" xr:uid="{CC5C1A19-C02C-44B0-A032-2F69B244195D}"/>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5597" xr:uid="{81455BE3-BDA8-4DCB-AC4D-1B5342556BBD}"/>
    <cellStyle name="40% - Accent6 3 2 2 2 3" xfId="11379" xr:uid="{E9C34465-6467-45FE-BAEE-CF6F6C7655B1}"/>
    <cellStyle name="40% - Accent6 3 2 2 3" xfId="5013" xr:uid="{00000000-0005-0000-0000-000037070000}"/>
    <cellStyle name="40% - Accent6 3 2 2 3 2" xfId="13452" xr:uid="{FCCE2F07-B0E9-4992-A3DC-08A0776E121D}"/>
    <cellStyle name="40% - Accent6 3 2 2 4" xfId="9234" xr:uid="{E98FC0D1-E078-41A2-AB9E-9CF240C4292F}"/>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16010" xr:uid="{293E3D4A-CAEF-4F97-B120-F39DBD0F5EC0}"/>
    <cellStyle name="40% - Accent6 3 2 3 2 3" xfId="11792" xr:uid="{62631EC5-54C5-481E-8907-8BF24CF37D2E}"/>
    <cellStyle name="40% - Accent6 3 2 3 3" xfId="5426" xr:uid="{00000000-0005-0000-0000-00003B070000}"/>
    <cellStyle name="40% - Accent6 3 2 3 3 2" xfId="13865" xr:uid="{46D03B31-97BA-430A-87DC-B8F25C4A3CCB}"/>
    <cellStyle name="40% - Accent6 3 2 3 4" xfId="9647" xr:uid="{D71E54D5-F878-44FF-8230-02E7BC54D810}"/>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16423" xr:uid="{2F794E7F-0D9B-4755-8B67-83B6BFAB10D8}"/>
    <cellStyle name="40% - Accent6 3 2 4 2 3" xfId="12205" xr:uid="{697E0462-5192-4835-B8E0-F564C4563ECB}"/>
    <cellStyle name="40% - Accent6 3 2 4 3" xfId="5839" xr:uid="{00000000-0005-0000-0000-00003F070000}"/>
    <cellStyle name="40% - Accent6 3 2 4 3 2" xfId="14278" xr:uid="{F890C1FA-50E1-4035-945F-B6B57D4DDBC3}"/>
    <cellStyle name="40% - Accent6 3 2 4 4" xfId="10060" xr:uid="{98C245EE-7582-49B7-9D51-3F4A045EA428}"/>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16836" xr:uid="{167C24E5-1A7F-447B-A53F-873A27BE2EAD}"/>
    <cellStyle name="40% - Accent6 3 2 5 2 3" xfId="12618" xr:uid="{F26EDDF0-9F6F-4AF3-8E82-A3EC094CF200}"/>
    <cellStyle name="40% - Accent6 3 2 5 3" xfId="6252" xr:uid="{00000000-0005-0000-0000-000043070000}"/>
    <cellStyle name="40% - Accent6 3 2 5 3 2" xfId="14691" xr:uid="{6E840C79-17CB-4A38-9C7F-9265A81F5428}"/>
    <cellStyle name="40% - Accent6 3 2 5 4" xfId="10473" xr:uid="{79F1DED9-29C7-4AC8-B5D6-2FBFA4AE1FCC}"/>
    <cellStyle name="40% - Accent6 3 2 6" xfId="2358" xr:uid="{00000000-0005-0000-0000-000044070000}"/>
    <cellStyle name="40% - Accent6 3 2 6 2" xfId="6665" xr:uid="{00000000-0005-0000-0000-000045070000}"/>
    <cellStyle name="40% - Accent6 3 2 6 2 2" xfId="15104" xr:uid="{444BEFDA-8A73-4914-8194-8193A93D8AA7}"/>
    <cellStyle name="40% - Accent6 3 2 6 3" xfId="10886" xr:uid="{3C74D4AC-C2E4-45DC-ACB6-448A40CB7715}"/>
    <cellStyle name="40% - Accent6 3 2 7" xfId="4599" xr:uid="{00000000-0005-0000-0000-000046070000}"/>
    <cellStyle name="40% - Accent6 3 2 7 2" xfId="13038" xr:uid="{75619495-C2A6-4783-8CE1-3969CCA6DA91}"/>
    <cellStyle name="40% - Accent6 3 2 8" xfId="8820" xr:uid="{F1C3A20B-44ED-46CA-9BD2-5666FB48DE57}"/>
    <cellStyle name="40% - Accent6 3 3" xfId="663" xr:uid="{00000000-0005-0000-0000-000047070000}"/>
    <cellStyle name="40% - Accent6 3 3 2" xfId="2934" xr:uid="{00000000-0005-0000-0000-000048070000}"/>
    <cellStyle name="40% - Accent6 3 3 2 2" xfId="7157" xr:uid="{00000000-0005-0000-0000-000049070000}"/>
    <cellStyle name="40% - Accent6 3 3 2 2 2" xfId="15596" xr:uid="{C4EBAEF8-902A-42DB-B14E-1E8268AFE2F1}"/>
    <cellStyle name="40% - Accent6 3 3 2 3" xfId="11378" xr:uid="{7A99E240-3D56-4785-B427-4266BB63CD53}"/>
    <cellStyle name="40% - Accent6 3 3 3" xfId="5012" xr:uid="{00000000-0005-0000-0000-00004A070000}"/>
    <cellStyle name="40% - Accent6 3 3 3 2" xfId="13451" xr:uid="{DFC38569-2C33-4B66-BBB6-2F6EFEA396C6}"/>
    <cellStyle name="40% - Accent6 3 3 4" xfId="9233" xr:uid="{FC62B339-A863-4302-8204-C656A52A2C5B}"/>
    <cellStyle name="40% - Accent6 3 4" xfId="1116" xr:uid="{00000000-0005-0000-0000-00004B070000}"/>
    <cellStyle name="40% - Accent6 3 4 2" xfId="3347" xr:uid="{00000000-0005-0000-0000-00004C070000}"/>
    <cellStyle name="40% - Accent6 3 4 2 2" xfId="7570" xr:uid="{00000000-0005-0000-0000-00004D070000}"/>
    <cellStyle name="40% - Accent6 3 4 2 2 2" xfId="16009" xr:uid="{274C9DAE-3832-4249-8ABE-432D0037D685}"/>
    <cellStyle name="40% - Accent6 3 4 2 3" xfId="11791" xr:uid="{14D39032-92BE-4CC8-83D7-BBC337D8E463}"/>
    <cellStyle name="40% - Accent6 3 4 3" xfId="5425" xr:uid="{00000000-0005-0000-0000-00004E070000}"/>
    <cellStyle name="40% - Accent6 3 4 3 2" xfId="13864" xr:uid="{193D7006-DE74-48BF-BED1-468222F8C713}"/>
    <cellStyle name="40% - Accent6 3 4 4" xfId="9646" xr:uid="{75307692-0EAC-47AB-AE27-7F627ECA8067}"/>
    <cellStyle name="40% - Accent6 3 5" xfId="1530" xr:uid="{00000000-0005-0000-0000-00004F070000}"/>
    <cellStyle name="40% - Accent6 3 5 2" xfId="3760" xr:uid="{00000000-0005-0000-0000-000050070000}"/>
    <cellStyle name="40% - Accent6 3 5 2 2" xfId="7983" xr:uid="{00000000-0005-0000-0000-000051070000}"/>
    <cellStyle name="40% - Accent6 3 5 2 2 2" xfId="16422" xr:uid="{1B552161-D064-4A28-94CA-2859DB7523B4}"/>
    <cellStyle name="40% - Accent6 3 5 2 3" xfId="12204" xr:uid="{F3619F3A-FB2C-4E78-9CC6-D81F2FA033F4}"/>
    <cellStyle name="40% - Accent6 3 5 3" xfId="5838" xr:uid="{00000000-0005-0000-0000-000052070000}"/>
    <cellStyle name="40% - Accent6 3 5 3 2" xfId="14277" xr:uid="{4EA75E7F-AA6C-42A0-A1AA-A5F3B55C0390}"/>
    <cellStyle name="40% - Accent6 3 5 4" xfId="10059" xr:uid="{87CA8303-88AF-4438-8C7D-3688786E464B}"/>
    <cellStyle name="40% - Accent6 3 6" xfId="1944" xr:uid="{00000000-0005-0000-0000-000053070000}"/>
    <cellStyle name="40% - Accent6 3 6 2" xfId="4173" xr:uid="{00000000-0005-0000-0000-000054070000}"/>
    <cellStyle name="40% - Accent6 3 6 2 2" xfId="8396" xr:uid="{00000000-0005-0000-0000-000055070000}"/>
    <cellStyle name="40% - Accent6 3 6 2 2 2" xfId="16835" xr:uid="{1189DF57-0424-4041-ABE7-B2AB64090DBB}"/>
    <cellStyle name="40% - Accent6 3 6 2 3" xfId="12617" xr:uid="{531312B0-E25D-4372-BB69-9CEDC4DA7B50}"/>
    <cellStyle name="40% - Accent6 3 6 3" xfId="6251" xr:uid="{00000000-0005-0000-0000-000056070000}"/>
    <cellStyle name="40% - Accent6 3 6 3 2" xfId="14690" xr:uid="{1C78E810-46CF-427D-9848-9967341AB0F2}"/>
    <cellStyle name="40% - Accent6 3 6 4" xfId="10472" xr:uid="{95C73814-9B26-4F12-B8FA-4F1191B95C1A}"/>
    <cellStyle name="40% - Accent6 3 7" xfId="2357" xr:uid="{00000000-0005-0000-0000-000057070000}"/>
    <cellStyle name="40% - Accent6 3 7 2" xfId="6664" xr:uid="{00000000-0005-0000-0000-000058070000}"/>
    <cellStyle name="40% - Accent6 3 7 2 2" xfId="15103" xr:uid="{AEA6509A-3A06-46E9-B2E2-86C6E63CDFB3}"/>
    <cellStyle name="40% - Accent6 3 7 3" xfId="10885" xr:uid="{F9846828-1205-45FA-80CF-00C502888AC3}"/>
    <cellStyle name="40% - Accent6 3 8" xfId="4598" xr:uid="{00000000-0005-0000-0000-000059070000}"/>
    <cellStyle name="40% - Accent6 3 8 2" xfId="13037" xr:uid="{93838222-4971-41AE-B576-A2BEA7AD6DDB}"/>
    <cellStyle name="40% - Accent6 3 9" xfId="8819" xr:uid="{776D741E-3712-4CDD-AA1F-EE6CB449C2AB}"/>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15598" xr:uid="{45CC2B75-93D9-44EE-ABDA-D6AADCF62685}"/>
    <cellStyle name="40% - Accent6 4 2 2 3" xfId="11380" xr:uid="{02EBD0B1-7DF8-49CC-8128-105F3FC64341}"/>
    <cellStyle name="40% - Accent6 4 2 3" xfId="5014" xr:uid="{00000000-0005-0000-0000-00005E070000}"/>
    <cellStyle name="40% - Accent6 4 2 3 2" xfId="13453" xr:uid="{2B984324-D047-444E-9A91-989B8768D261}"/>
    <cellStyle name="40% - Accent6 4 2 4" xfId="9235" xr:uid="{5F086865-C0E9-45EC-BF0D-D5932D237AD2}"/>
    <cellStyle name="40% - Accent6 4 3" xfId="1118" xr:uid="{00000000-0005-0000-0000-00005F070000}"/>
    <cellStyle name="40% - Accent6 4 3 2" xfId="3349" xr:uid="{00000000-0005-0000-0000-000060070000}"/>
    <cellStyle name="40% - Accent6 4 3 2 2" xfId="7572" xr:uid="{00000000-0005-0000-0000-000061070000}"/>
    <cellStyle name="40% - Accent6 4 3 2 2 2" xfId="16011" xr:uid="{931AC753-0401-4F9A-BD9A-FCAF17450E30}"/>
    <cellStyle name="40% - Accent6 4 3 2 3" xfId="11793" xr:uid="{C7CF8741-7C89-4225-AC6F-207C21586A34}"/>
    <cellStyle name="40% - Accent6 4 3 3" xfId="5427" xr:uid="{00000000-0005-0000-0000-000062070000}"/>
    <cellStyle name="40% - Accent6 4 3 3 2" xfId="13866" xr:uid="{1EAE84A5-1CD3-4BF4-AFAA-8145F99BA363}"/>
    <cellStyle name="40% - Accent6 4 3 4" xfId="9648" xr:uid="{8EC0DC35-25F5-482C-AAE4-1C0B20E40A7A}"/>
    <cellStyle name="40% - Accent6 4 4" xfId="1532" xr:uid="{00000000-0005-0000-0000-000063070000}"/>
    <cellStyle name="40% - Accent6 4 4 2" xfId="3762" xr:uid="{00000000-0005-0000-0000-000064070000}"/>
    <cellStyle name="40% - Accent6 4 4 2 2" xfId="7985" xr:uid="{00000000-0005-0000-0000-000065070000}"/>
    <cellStyle name="40% - Accent6 4 4 2 2 2" xfId="16424" xr:uid="{9C30042F-72CD-409C-9B73-503E9A17633B}"/>
    <cellStyle name="40% - Accent6 4 4 2 3" xfId="12206" xr:uid="{D282B1E5-094A-4630-9911-DF6EEFD281BB}"/>
    <cellStyle name="40% - Accent6 4 4 3" xfId="5840" xr:uid="{00000000-0005-0000-0000-000066070000}"/>
    <cellStyle name="40% - Accent6 4 4 3 2" xfId="14279" xr:uid="{71ECCABD-70C7-4D42-8AD5-C9FF77B0EBF2}"/>
    <cellStyle name="40% - Accent6 4 4 4" xfId="10061" xr:uid="{545B59E6-D5E9-4991-8B2A-82E7C891F4F9}"/>
    <cellStyle name="40% - Accent6 4 5" xfId="1946" xr:uid="{00000000-0005-0000-0000-000067070000}"/>
    <cellStyle name="40% - Accent6 4 5 2" xfId="4175" xr:uid="{00000000-0005-0000-0000-000068070000}"/>
    <cellStyle name="40% - Accent6 4 5 2 2" xfId="8398" xr:uid="{00000000-0005-0000-0000-000069070000}"/>
    <cellStyle name="40% - Accent6 4 5 2 2 2" xfId="16837" xr:uid="{72630417-7093-44B3-9A6F-2E025642A9CD}"/>
    <cellStyle name="40% - Accent6 4 5 2 3" xfId="12619" xr:uid="{0D0E5E79-717C-4AE3-8A11-956A89E009E2}"/>
    <cellStyle name="40% - Accent6 4 5 3" xfId="6253" xr:uid="{00000000-0005-0000-0000-00006A070000}"/>
    <cellStyle name="40% - Accent6 4 5 3 2" xfId="14692" xr:uid="{60B616FC-42E1-4CC1-8AAD-6F6800DE9D36}"/>
    <cellStyle name="40% - Accent6 4 5 4" xfId="10474" xr:uid="{3C96BDC1-C581-4DF3-B4F5-7E2C39E9D8AC}"/>
    <cellStyle name="40% - Accent6 4 6" xfId="2359" xr:uid="{00000000-0005-0000-0000-00006B070000}"/>
    <cellStyle name="40% - Accent6 4 6 2" xfId="6666" xr:uid="{00000000-0005-0000-0000-00006C070000}"/>
    <cellStyle name="40% - Accent6 4 6 2 2" xfId="15105" xr:uid="{EA0F05E3-8047-4762-BF44-D0C36E340920}"/>
    <cellStyle name="40% - Accent6 4 6 3" xfId="10887" xr:uid="{55903426-2225-48EF-8C1E-3F8EA4E50066}"/>
    <cellStyle name="40% - Accent6 4 7" xfId="4600" xr:uid="{00000000-0005-0000-0000-00006D070000}"/>
    <cellStyle name="40% - Accent6 4 7 2" xfId="13039" xr:uid="{03463857-2F9C-462D-B304-8E3C47B074D7}"/>
    <cellStyle name="40% - Accent6 4 8" xfId="8821" xr:uid="{247C44E2-59E5-4B66-BA6A-0578DCA860DA}"/>
    <cellStyle name="40% - Accent6 5" xfId="658" xr:uid="{00000000-0005-0000-0000-00006E070000}"/>
    <cellStyle name="40% - Accent6 5 2" xfId="2929" xr:uid="{00000000-0005-0000-0000-00006F070000}"/>
    <cellStyle name="40% - Accent6 5 2 2" xfId="7152" xr:uid="{00000000-0005-0000-0000-000070070000}"/>
    <cellStyle name="40% - Accent6 5 2 2 2" xfId="15591" xr:uid="{3F1FF772-BBE6-4084-81F0-FB8A5D17E543}"/>
    <cellStyle name="40% - Accent6 5 2 3" xfId="11373" xr:uid="{A1BB6506-81DA-44BA-8BB8-80D22242C959}"/>
    <cellStyle name="40% - Accent6 5 3" xfId="5007" xr:uid="{00000000-0005-0000-0000-000071070000}"/>
    <cellStyle name="40% - Accent6 5 3 2" xfId="13446" xr:uid="{A16872F4-0D07-48C4-8E1F-3149ECFFBDCB}"/>
    <cellStyle name="40% - Accent6 5 4" xfId="9228" xr:uid="{64FFFCAE-0FB0-48BC-BDDB-E52E154E7D5D}"/>
    <cellStyle name="40% - Accent6 6" xfId="1111" xr:uid="{00000000-0005-0000-0000-000072070000}"/>
    <cellStyle name="40% - Accent6 6 2" xfId="3342" xr:uid="{00000000-0005-0000-0000-000073070000}"/>
    <cellStyle name="40% - Accent6 6 2 2" xfId="7565" xr:uid="{00000000-0005-0000-0000-000074070000}"/>
    <cellStyle name="40% - Accent6 6 2 2 2" xfId="16004" xr:uid="{4FFFE1AE-C8B5-4C1B-9F75-0FF96F141E81}"/>
    <cellStyle name="40% - Accent6 6 2 3" xfId="11786" xr:uid="{2E708047-69D5-4AE1-922C-3CD9D74C24FD}"/>
    <cellStyle name="40% - Accent6 6 3" xfId="5420" xr:uid="{00000000-0005-0000-0000-000075070000}"/>
    <cellStyle name="40% - Accent6 6 3 2" xfId="13859" xr:uid="{18175DAB-79FC-47DB-99A0-56EDF18BAA62}"/>
    <cellStyle name="40% - Accent6 6 4" xfId="9641" xr:uid="{5F991AA4-6E8E-4FB1-9FBB-34CD5A770BEE}"/>
    <cellStyle name="40% - Accent6 7" xfId="1525" xr:uid="{00000000-0005-0000-0000-000076070000}"/>
    <cellStyle name="40% - Accent6 7 2" xfId="3755" xr:uid="{00000000-0005-0000-0000-000077070000}"/>
    <cellStyle name="40% - Accent6 7 2 2" xfId="7978" xr:uid="{00000000-0005-0000-0000-000078070000}"/>
    <cellStyle name="40% - Accent6 7 2 2 2" xfId="16417" xr:uid="{BE56841E-CFE0-4496-AFA5-DA26B91A44DA}"/>
    <cellStyle name="40% - Accent6 7 2 3" xfId="12199" xr:uid="{BFB25AE6-649D-4EA2-92E0-9A1ECBF0B9B8}"/>
    <cellStyle name="40% - Accent6 7 3" xfId="5833" xr:uid="{00000000-0005-0000-0000-000079070000}"/>
    <cellStyle name="40% - Accent6 7 3 2" xfId="14272" xr:uid="{2C7FDA81-87F2-4F16-8849-19C7E3F6377F}"/>
    <cellStyle name="40% - Accent6 7 4" xfId="10054" xr:uid="{E2C274CA-6093-41C5-9368-E574912B0325}"/>
    <cellStyle name="40% - Accent6 8" xfId="1939" xr:uid="{00000000-0005-0000-0000-00007A070000}"/>
    <cellStyle name="40% - Accent6 8 2" xfId="4168" xr:uid="{00000000-0005-0000-0000-00007B070000}"/>
    <cellStyle name="40% - Accent6 8 2 2" xfId="8391" xr:uid="{00000000-0005-0000-0000-00007C070000}"/>
    <cellStyle name="40% - Accent6 8 2 2 2" xfId="16830" xr:uid="{9449D6E3-B80F-4287-8778-AD26D436302E}"/>
    <cellStyle name="40% - Accent6 8 2 3" xfId="12612" xr:uid="{92D7D77B-1D08-4B77-A858-A790B6FC7315}"/>
    <cellStyle name="40% - Accent6 8 3" xfId="6246" xr:uid="{00000000-0005-0000-0000-00007D070000}"/>
    <cellStyle name="40% - Accent6 8 3 2" xfId="14685" xr:uid="{7A201163-2B42-4C17-B761-E6AAA80EF6EA}"/>
    <cellStyle name="40% - Accent6 8 4" xfId="10467" xr:uid="{2135FCBA-0024-479D-83CC-C78FC7390FC2}"/>
    <cellStyle name="40% - Accent6 9" xfId="2352" xr:uid="{00000000-0005-0000-0000-00007E070000}"/>
    <cellStyle name="40% - Accent6 9 2" xfId="6659" xr:uid="{00000000-0005-0000-0000-00007F070000}"/>
    <cellStyle name="40% - Accent6 9 2 2" xfId="15098" xr:uid="{0B978F00-AEAB-4C5D-8F67-CF2E81181DB7}"/>
    <cellStyle name="40% - Accent6 9 3" xfId="10880" xr:uid="{A3CDF4D5-7C5C-4F87-BE97-50450BAD9197}"/>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15423" xr:uid="{9759CA35-A300-4CC2-902B-E675A416B68B}"/>
    <cellStyle name="Comma 4 2 2 2 10 3" xfId="11205" xr:uid="{B6C18E09-8A3F-4923-BACB-7E35FC8B8452}"/>
    <cellStyle name="Comma 4 2 2 2 11" xfId="4601" xr:uid="{00000000-0005-0000-0000-0000A3070000}"/>
    <cellStyle name="Comma 4 2 2 2 11 2" xfId="13040" xr:uid="{90FE5C6F-331E-4E30-9BE9-0EB0703A3DD6}"/>
    <cellStyle name="Comma 4 2 2 2 12" xfId="8822" xr:uid="{5D5BFD24-A5B7-44D3-8480-1A20616680BA}"/>
    <cellStyle name="Comma 4 2 2 2 2" xfId="129" xr:uid="{00000000-0005-0000-0000-0000A4070000}"/>
    <cellStyle name="Comma 4 2 2 2 2 10" xfId="4602" xr:uid="{00000000-0005-0000-0000-0000A5070000}"/>
    <cellStyle name="Comma 4 2 2 2 2 10 2" xfId="13041" xr:uid="{AC92CCCB-3C54-49F5-B5FD-42BEDD0BA4AB}"/>
    <cellStyle name="Comma 4 2 2 2 2 11" xfId="8823" xr:uid="{2FBE8C4D-DA0C-49EA-81BE-751303D1D685}"/>
    <cellStyle name="Comma 4 2 2 2 2 2" xfId="130" xr:uid="{00000000-0005-0000-0000-0000A6070000}"/>
    <cellStyle name="Comma 4 2 2 2 2 2 10" xfId="8824" xr:uid="{7C2845F8-75FC-4672-B4DE-640CC4BB2878}"/>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5601" xr:uid="{D5992470-E6C3-4FDE-AF52-6878E0323B17}"/>
    <cellStyle name="Comma 4 2 2 2 2 2 2 2 3" xfId="11383" xr:uid="{84FB9EBF-5E3C-4052-B071-22ECD3CC4EC7}"/>
    <cellStyle name="Comma 4 2 2 2 2 2 2 3" xfId="5017" xr:uid="{00000000-0005-0000-0000-0000AA070000}"/>
    <cellStyle name="Comma 4 2 2 2 2 2 2 3 2" xfId="13456" xr:uid="{8602A06E-12A7-4759-868A-BFBC1EC4C379}"/>
    <cellStyle name="Comma 4 2 2 2 2 2 2 4" xfId="9238" xr:uid="{408A4176-BD61-41C0-A462-F4955283E7CC}"/>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16014" xr:uid="{6189B8B0-DB14-45B3-A9AB-3A8A06F41F7D}"/>
    <cellStyle name="Comma 4 2 2 2 2 2 3 2 3" xfId="11796" xr:uid="{06FAE4D2-6122-4004-9B62-FBCC9F3396E7}"/>
    <cellStyle name="Comma 4 2 2 2 2 2 3 3" xfId="5430" xr:uid="{00000000-0005-0000-0000-0000AE070000}"/>
    <cellStyle name="Comma 4 2 2 2 2 2 3 3 2" xfId="13869" xr:uid="{933F7930-1953-44E9-9C43-FA9F67E737B4}"/>
    <cellStyle name="Comma 4 2 2 2 2 2 3 4" xfId="9651" xr:uid="{389476E7-7EDE-4A72-9E6B-144700F7651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16427" xr:uid="{0EA61E4D-9361-4523-8745-527B744B5F16}"/>
    <cellStyle name="Comma 4 2 2 2 2 2 4 2 3" xfId="12209" xr:uid="{730F0B89-BA11-4801-94DD-3E4D87B31407}"/>
    <cellStyle name="Comma 4 2 2 2 2 2 4 3" xfId="5843" xr:uid="{00000000-0005-0000-0000-0000B2070000}"/>
    <cellStyle name="Comma 4 2 2 2 2 2 4 3 2" xfId="14282" xr:uid="{09725A2E-EB0D-42A0-8290-B143FA5B5C72}"/>
    <cellStyle name="Comma 4 2 2 2 2 2 4 4" xfId="10064" xr:uid="{57881AEB-4CDD-4744-970C-77A36E33B2BE}"/>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16840" xr:uid="{97F33824-5F59-49E0-9807-9FC3214838A1}"/>
    <cellStyle name="Comma 4 2 2 2 2 2 5 2 3" xfId="12622" xr:uid="{6D28B811-9818-4F1B-8D15-6991CF70EA53}"/>
    <cellStyle name="Comma 4 2 2 2 2 2 5 3" xfId="6256" xr:uid="{00000000-0005-0000-0000-0000B6070000}"/>
    <cellStyle name="Comma 4 2 2 2 2 2 5 3 2" xfId="14695" xr:uid="{D9C4C190-4CBF-4EE6-8B00-3B51292686BD}"/>
    <cellStyle name="Comma 4 2 2 2 2 2 5 4" xfId="10477" xr:uid="{77B34153-A6F0-400D-8D4E-24716E05BE44}"/>
    <cellStyle name="Comma 4 2 2 2 2 2 6" xfId="2384" xr:uid="{00000000-0005-0000-0000-0000B7070000}"/>
    <cellStyle name="Comma 4 2 2 2 2 2 6 2" xfId="6669" xr:uid="{00000000-0005-0000-0000-0000B8070000}"/>
    <cellStyle name="Comma 4 2 2 2 2 2 6 2 2" xfId="15108" xr:uid="{FE374B06-980B-49C0-81EC-662AF05A97F2}"/>
    <cellStyle name="Comma 4 2 2 2 2 2 6 3" xfId="10890" xr:uid="{D88BEED8-E8F0-4264-AFB2-B70044382A54}"/>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15425" xr:uid="{2516D561-3092-4B4C-BF75-4D47E9E0B58D}"/>
    <cellStyle name="Comma 4 2 2 2 2 2 8 3" xfId="11207" xr:uid="{052264D3-D6DA-4C6D-8E9D-77D201E61DD8}"/>
    <cellStyle name="Comma 4 2 2 2 2 2 9" xfId="4603" xr:uid="{00000000-0005-0000-0000-0000BC070000}"/>
    <cellStyle name="Comma 4 2 2 2 2 2 9 2" xfId="13042" xr:uid="{4E14E603-3043-43A1-ADC9-ABC268DBC8F8}"/>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5600" xr:uid="{14DA0BB8-BC04-42C2-ACD4-C5655A5355BF}"/>
    <cellStyle name="Comma 4 2 2 2 2 3 2 3" xfId="11382" xr:uid="{0B51F0D8-A54A-4BCD-AAD1-16D49A93459D}"/>
    <cellStyle name="Comma 4 2 2 2 2 3 3" xfId="5016" xr:uid="{00000000-0005-0000-0000-0000C0070000}"/>
    <cellStyle name="Comma 4 2 2 2 2 3 3 2" xfId="13455" xr:uid="{F1B9B9E2-D1B7-4D90-A242-664F8CFE28A7}"/>
    <cellStyle name="Comma 4 2 2 2 2 3 4" xfId="9237" xr:uid="{EB050EE3-D41F-4F0D-B5AB-E50128A4C853}"/>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16013" xr:uid="{75E45EDB-DAC6-4E38-BADC-F9EB94A74849}"/>
    <cellStyle name="Comma 4 2 2 2 2 4 2 3" xfId="11795" xr:uid="{5790E465-CAB0-471C-8E01-117569AF327C}"/>
    <cellStyle name="Comma 4 2 2 2 2 4 3" xfId="5429" xr:uid="{00000000-0005-0000-0000-0000C4070000}"/>
    <cellStyle name="Comma 4 2 2 2 2 4 3 2" xfId="13868" xr:uid="{0773F0DC-D1AC-47FC-94A0-869B89939D2F}"/>
    <cellStyle name="Comma 4 2 2 2 2 4 4" xfId="9650" xr:uid="{938E3070-08F2-4CC5-A9EE-CE266FAD9CAE}"/>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16426" xr:uid="{9E4997AE-58D7-4C2F-9866-9BD9490A5F55}"/>
    <cellStyle name="Comma 4 2 2 2 2 5 2 3" xfId="12208" xr:uid="{091E4D70-9AC4-4047-955B-25FBE60778E5}"/>
    <cellStyle name="Comma 4 2 2 2 2 5 3" xfId="5842" xr:uid="{00000000-0005-0000-0000-0000C8070000}"/>
    <cellStyle name="Comma 4 2 2 2 2 5 3 2" xfId="14281" xr:uid="{55389833-C428-4915-81CD-CE7DF07E302C}"/>
    <cellStyle name="Comma 4 2 2 2 2 5 4" xfId="10063" xr:uid="{A4CC73E1-8A9E-4DD6-9BDA-D106C1BE38FB}"/>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16839" xr:uid="{D57A0AF7-9663-47AC-8877-C4C5F3137FD9}"/>
    <cellStyle name="Comma 4 2 2 2 2 6 2 3" xfId="12621" xr:uid="{47BF3E43-E479-4C02-8626-46C7EB33EABC}"/>
    <cellStyle name="Comma 4 2 2 2 2 6 3" xfId="6255" xr:uid="{00000000-0005-0000-0000-0000CC070000}"/>
    <cellStyle name="Comma 4 2 2 2 2 6 3 2" xfId="14694" xr:uid="{4DD96F9D-7739-4531-8EC7-6106237DA8E3}"/>
    <cellStyle name="Comma 4 2 2 2 2 6 4" xfId="10476" xr:uid="{A354D176-45EE-4611-94F9-11320C8D6C82}"/>
    <cellStyle name="Comma 4 2 2 2 2 7" xfId="2383" xr:uid="{00000000-0005-0000-0000-0000CD070000}"/>
    <cellStyle name="Comma 4 2 2 2 2 7 2" xfId="6668" xr:uid="{00000000-0005-0000-0000-0000CE070000}"/>
    <cellStyle name="Comma 4 2 2 2 2 7 2 2" xfId="15107" xr:uid="{CE629A09-3DBB-4231-A633-CA5064C7413F}"/>
    <cellStyle name="Comma 4 2 2 2 2 7 3" xfId="10889" xr:uid="{A47874EE-C38E-4F7F-BF1C-625B5C8C2082}"/>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15424" xr:uid="{0C08AE27-5B49-4ABB-A7D5-75BFD6650120}"/>
    <cellStyle name="Comma 4 2 2 2 2 9 3" xfId="11206" xr:uid="{2EA01CFE-6F68-4CF0-AB75-830325EF2944}"/>
    <cellStyle name="Comma 4 2 2 2 3" xfId="131" xr:uid="{00000000-0005-0000-0000-0000D2070000}"/>
    <cellStyle name="Comma 4 2 2 2 3 10" xfId="8825" xr:uid="{AA476729-CA82-4C27-81BF-D927B3C8E806}"/>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5602" xr:uid="{BD69A12F-1E98-4A5F-8534-68F868C985AA}"/>
    <cellStyle name="Comma 4 2 2 2 3 2 2 3" xfId="11384" xr:uid="{13F30773-2B8F-48B2-BB24-1EABABAF661E}"/>
    <cellStyle name="Comma 4 2 2 2 3 2 3" xfId="5018" xr:uid="{00000000-0005-0000-0000-0000D6070000}"/>
    <cellStyle name="Comma 4 2 2 2 3 2 3 2" xfId="13457" xr:uid="{DEE565C4-3622-4339-91B6-CB241E047F96}"/>
    <cellStyle name="Comma 4 2 2 2 3 2 4" xfId="9239" xr:uid="{7F7F631C-1BDC-4023-9B3D-1A6478A4920C}"/>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16015" xr:uid="{6EDB3035-2CD1-4D38-A428-A74663F9F01A}"/>
    <cellStyle name="Comma 4 2 2 2 3 3 2 3" xfId="11797" xr:uid="{44148DFA-132D-4313-85D6-78476D1B3929}"/>
    <cellStyle name="Comma 4 2 2 2 3 3 3" xfId="5431" xr:uid="{00000000-0005-0000-0000-0000DA070000}"/>
    <cellStyle name="Comma 4 2 2 2 3 3 3 2" xfId="13870" xr:uid="{F9B97452-5C67-4BDE-8E65-B6AA71989DB5}"/>
    <cellStyle name="Comma 4 2 2 2 3 3 4" xfId="9652" xr:uid="{1DC74DCA-BEF6-4345-B8EB-EB525AC774B7}"/>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16428" xr:uid="{90486551-659F-4F85-ACCD-E98E5AA79238}"/>
    <cellStyle name="Comma 4 2 2 2 3 4 2 3" xfId="12210" xr:uid="{35C537DD-3774-45AF-B597-54D396BE1FC7}"/>
    <cellStyle name="Comma 4 2 2 2 3 4 3" xfId="5844" xr:uid="{00000000-0005-0000-0000-0000DE070000}"/>
    <cellStyle name="Comma 4 2 2 2 3 4 3 2" xfId="14283" xr:uid="{4758808F-C16A-4EDB-A3A1-4F8775FE1E7F}"/>
    <cellStyle name="Comma 4 2 2 2 3 4 4" xfId="10065" xr:uid="{DE4023C6-B0A7-49F6-87FC-4393625A1069}"/>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16841" xr:uid="{7AB64F9A-37CB-4ED3-A66C-FC51C2CF7CDC}"/>
    <cellStyle name="Comma 4 2 2 2 3 5 2 3" xfId="12623" xr:uid="{0B5DE5B6-1C5D-42B5-944B-B9060A825BCD}"/>
    <cellStyle name="Comma 4 2 2 2 3 5 3" xfId="6257" xr:uid="{00000000-0005-0000-0000-0000E2070000}"/>
    <cellStyle name="Comma 4 2 2 2 3 5 3 2" xfId="14696" xr:uid="{217AEAF4-FBC5-4B27-BAB5-852D4B27E7E7}"/>
    <cellStyle name="Comma 4 2 2 2 3 5 4" xfId="10478" xr:uid="{1E8D23E2-745C-4BA1-92C3-984E86695D08}"/>
    <cellStyle name="Comma 4 2 2 2 3 6" xfId="2385" xr:uid="{00000000-0005-0000-0000-0000E3070000}"/>
    <cellStyle name="Comma 4 2 2 2 3 6 2" xfId="6670" xr:uid="{00000000-0005-0000-0000-0000E4070000}"/>
    <cellStyle name="Comma 4 2 2 2 3 6 2 2" xfId="15109" xr:uid="{78801FA3-B024-415E-A753-6297A7A18EA2}"/>
    <cellStyle name="Comma 4 2 2 2 3 6 3" xfId="10891" xr:uid="{A63C7772-5DCD-489D-969E-DC7EDDED7721}"/>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15426" xr:uid="{E7247868-E074-4E88-8798-5EB833FB29C6}"/>
    <cellStyle name="Comma 4 2 2 2 3 8 3" xfId="11208" xr:uid="{45265C35-135C-4AAF-9FB0-90853D23DADD}"/>
    <cellStyle name="Comma 4 2 2 2 3 9" xfId="4604" xr:uid="{00000000-0005-0000-0000-0000E8070000}"/>
    <cellStyle name="Comma 4 2 2 2 3 9 2" xfId="13043" xr:uid="{66124437-DE4C-4A2E-83A3-2065823D670F}"/>
    <cellStyle name="Comma 4 2 2 2 4" xfId="666" xr:uid="{00000000-0005-0000-0000-0000E9070000}"/>
    <cellStyle name="Comma 4 2 2 2 4 2" xfId="2937" xr:uid="{00000000-0005-0000-0000-0000EA070000}"/>
    <cellStyle name="Comma 4 2 2 2 4 2 2" xfId="7160" xr:uid="{00000000-0005-0000-0000-0000EB070000}"/>
    <cellStyle name="Comma 4 2 2 2 4 2 2 2" xfId="15599" xr:uid="{9E197E56-B7E0-49B6-AE97-9D084F1122C2}"/>
    <cellStyle name="Comma 4 2 2 2 4 2 3" xfId="11381" xr:uid="{7543A7BE-5FC7-400C-A6F9-4A49078472F8}"/>
    <cellStyle name="Comma 4 2 2 2 4 3" xfId="5015" xr:uid="{00000000-0005-0000-0000-0000EC070000}"/>
    <cellStyle name="Comma 4 2 2 2 4 3 2" xfId="13454" xr:uid="{EA01386C-58CC-4EFA-97A7-9F4C78F420BC}"/>
    <cellStyle name="Comma 4 2 2 2 4 4" xfId="9236" xr:uid="{086723BB-DA1D-46B9-9192-720FDFDACF17}"/>
    <cellStyle name="Comma 4 2 2 2 5" xfId="1119" xr:uid="{00000000-0005-0000-0000-0000ED070000}"/>
    <cellStyle name="Comma 4 2 2 2 5 2" xfId="3350" xr:uid="{00000000-0005-0000-0000-0000EE070000}"/>
    <cellStyle name="Comma 4 2 2 2 5 2 2" xfId="7573" xr:uid="{00000000-0005-0000-0000-0000EF070000}"/>
    <cellStyle name="Comma 4 2 2 2 5 2 2 2" xfId="16012" xr:uid="{36E34846-902C-4128-A9F0-AF2DD7ED0EAE}"/>
    <cellStyle name="Comma 4 2 2 2 5 2 3" xfId="11794" xr:uid="{9579EC6E-1545-416B-82C9-C0B9E4F06338}"/>
    <cellStyle name="Comma 4 2 2 2 5 3" xfId="5428" xr:uid="{00000000-0005-0000-0000-0000F0070000}"/>
    <cellStyle name="Comma 4 2 2 2 5 3 2" xfId="13867" xr:uid="{DD939127-7145-44D3-AC95-E7CDAD1EDA4E}"/>
    <cellStyle name="Comma 4 2 2 2 5 4" xfId="9649" xr:uid="{A408ED77-34D3-488A-8D46-21A0A0FED5A1}"/>
    <cellStyle name="Comma 4 2 2 2 6" xfId="1533" xr:uid="{00000000-0005-0000-0000-0000F1070000}"/>
    <cellStyle name="Comma 4 2 2 2 6 2" xfId="3763" xr:uid="{00000000-0005-0000-0000-0000F2070000}"/>
    <cellStyle name="Comma 4 2 2 2 6 2 2" xfId="7986" xr:uid="{00000000-0005-0000-0000-0000F3070000}"/>
    <cellStyle name="Comma 4 2 2 2 6 2 2 2" xfId="16425" xr:uid="{C3481A06-F838-4E28-9FC4-8D77E1E84124}"/>
    <cellStyle name="Comma 4 2 2 2 6 2 3" xfId="12207" xr:uid="{6D5C7A37-0E0E-44A6-B22E-8199044ED795}"/>
    <cellStyle name="Comma 4 2 2 2 6 3" xfId="5841" xr:uid="{00000000-0005-0000-0000-0000F4070000}"/>
    <cellStyle name="Comma 4 2 2 2 6 3 2" xfId="14280" xr:uid="{D75DB035-DCC8-4C9E-8D21-D50609699BCB}"/>
    <cellStyle name="Comma 4 2 2 2 6 4" xfId="10062" xr:uid="{0DFCA76D-DE14-4999-BFBB-2B54C4445973}"/>
    <cellStyle name="Comma 4 2 2 2 7" xfId="1947" xr:uid="{00000000-0005-0000-0000-0000F5070000}"/>
    <cellStyle name="Comma 4 2 2 2 7 2" xfId="4176" xr:uid="{00000000-0005-0000-0000-0000F6070000}"/>
    <cellStyle name="Comma 4 2 2 2 7 2 2" xfId="8399" xr:uid="{00000000-0005-0000-0000-0000F7070000}"/>
    <cellStyle name="Comma 4 2 2 2 7 2 2 2" xfId="16838" xr:uid="{E26F6C83-36F2-481F-BF22-7AB77739A577}"/>
    <cellStyle name="Comma 4 2 2 2 7 2 3" xfId="12620" xr:uid="{743227E8-16A0-4CEA-9440-8B79476724FE}"/>
    <cellStyle name="Comma 4 2 2 2 7 3" xfId="6254" xr:uid="{00000000-0005-0000-0000-0000F8070000}"/>
    <cellStyle name="Comma 4 2 2 2 7 3 2" xfId="14693" xr:uid="{8931F8AD-0419-476B-88D6-C7350ED957AE}"/>
    <cellStyle name="Comma 4 2 2 2 7 4" xfId="10475" xr:uid="{A6B510E0-26BF-406C-BA84-525B6E53C7CC}"/>
    <cellStyle name="Comma 4 2 2 2 8" xfId="2382" xr:uid="{00000000-0005-0000-0000-0000F9070000}"/>
    <cellStyle name="Comma 4 2 2 2 8 2" xfId="6667" xr:uid="{00000000-0005-0000-0000-0000FA070000}"/>
    <cellStyle name="Comma 4 2 2 2 8 2 2" xfId="15106" xr:uid="{71B1C695-521F-4241-9302-8E19280C074F}"/>
    <cellStyle name="Comma 4 2 2 2 8 3" xfId="10888" xr:uid="{037951CF-0660-424C-B1B2-D3348E1F6681}"/>
    <cellStyle name="Comma 4 2 2 2 9" xfId="2381" xr:uid="{00000000-0005-0000-0000-0000FB070000}"/>
    <cellStyle name="Comma 4 2 2 3" xfId="132" xr:uid="{00000000-0005-0000-0000-0000FC070000}"/>
    <cellStyle name="Comma 4 2 2 3 10" xfId="4605" xr:uid="{00000000-0005-0000-0000-0000FD070000}"/>
    <cellStyle name="Comma 4 2 2 3 10 2" xfId="13044" xr:uid="{BBDAEC57-89D3-42EF-8E37-EA4F87955FF3}"/>
    <cellStyle name="Comma 4 2 2 3 11" xfId="8826" xr:uid="{B908C3CA-4A59-4677-8E5E-2905F3A56F3D}"/>
    <cellStyle name="Comma 4 2 2 3 2" xfId="133" xr:uid="{00000000-0005-0000-0000-0000FE070000}"/>
    <cellStyle name="Comma 4 2 2 3 2 10" xfId="8827" xr:uid="{ECC17FFE-8269-4A1F-A4C4-B2F46D49F236}"/>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5604" xr:uid="{A3AACFBE-9E0E-4FAB-A339-5D912D8A9770}"/>
    <cellStyle name="Comma 4 2 2 3 2 2 2 3" xfId="11386" xr:uid="{501877F3-B028-455F-9218-C9EA92087191}"/>
    <cellStyle name="Comma 4 2 2 3 2 2 3" xfId="5020" xr:uid="{00000000-0005-0000-0000-000002080000}"/>
    <cellStyle name="Comma 4 2 2 3 2 2 3 2" xfId="13459" xr:uid="{7B9C8BD2-CFC8-4310-99C7-E1AE5BD6B01A}"/>
    <cellStyle name="Comma 4 2 2 3 2 2 4" xfId="9241" xr:uid="{4E9959F1-6B78-4179-963A-B986ED851998}"/>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16017" xr:uid="{225E27B4-090F-485E-8044-EF65018E50FC}"/>
    <cellStyle name="Comma 4 2 2 3 2 3 2 3" xfId="11799" xr:uid="{FEA8021C-B79D-43AF-A465-227D7E52A2C4}"/>
    <cellStyle name="Comma 4 2 2 3 2 3 3" xfId="5433" xr:uid="{00000000-0005-0000-0000-000006080000}"/>
    <cellStyle name="Comma 4 2 2 3 2 3 3 2" xfId="13872" xr:uid="{DB3659A0-D7BE-405B-99E4-87117F492428}"/>
    <cellStyle name="Comma 4 2 2 3 2 3 4" xfId="9654" xr:uid="{183DD037-3E3C-48D5-833F-1BA9D9528B58}"/>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16430" xr:uid="{F4627995-DC2A-4E0E-B537-F84629C64501}"/>
    <cellStyle name="Comma 4 2 2 3 2 4 2 3" xfId="12212" xr:uid="{49A33A34-54D9-49E3-AAF0-0A1DBF0AAB69}"/>
    <cellStyle name="Comma 4 2 2 3 2 4 3" xfId="5846" xr:uid="{00000000-0005-0000-0000-00000A080000}"/>
    <cellStyle name="Comma 4 2 2 3 2 4 3 2" xfId="14285" xr:uid="{953C4E94-BA78-4327-8AAE-252C746EDDB0}"/>
    <cellStyle name="Comma 4 2 2 3 2 4 4" xfId="10067" xr:uid="{9C20CC72-B871-491D-9371-FDBFE916C483}"/>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16843" xr:uid="{52B3A67B-BFF0-4B4F-B2FF-9EDAC6FDAA37}"/>
    <cellStyle name="Comma 4 2 2 3 2 5 2 3" xfId="12625" xr:uid="{80AAA0D9-71F4-4942-BCA6-90F3ABCFFDE2}"/>
    <cellStyle name="Comma 4 2 2 3 2 5 3" xfId="6259" xr:uid="{00000000-0005-0000-0000-00000E080000}"/>
    <cellStyle name="Comma 4 2 2 3 2 5 3 2" xfId="14698" xr:uid="{20B3C575-4EC3-406C-A329-ACF8B1AB3FDE}"/>
    <cellStyle name="Comma 4 2 2 3 2 5 4" xfId="10480" xr:uid="{924183F5-C724-451C-98FB-410968DA0840}"/>
    <cellStyle name="Comma 4 2 2 3 2 6" xfId="2387" xr:uid="{00000000-0005-0000-0000-00000F080000}"/>
    <cellStyle name="Comma 4 2 2 3 2 6 2" xfId="6672" xr:uid="{00000000-0005-0000-0000-000010080000}"/>
    <cellStyle name="Comma 4 2 2 3 2 6 2 2" xfId="15111" xr:uid="{17D7D28A-A526-4B2E-BFC6-4A8BAAC5C9F3}"/>
    <cellStyle name="Comma 4 2 2 3 2 6 3" xfId="10893" xr:uid="{25A0ED03-88D7-4080-AAC6-89B4A0637249}"/>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15428" xr:uid="{193F8575-2970-4434-A267-37232A0D9F8D}"/>
    <cellStyle name="Comma 4 2 2 3 2 8 3" xfId="11210" xr:uid="{57B28953-D6CC-494D-87E1-CD7F831F786F}"/>
    <cellStyle name="Comma 4 2 2 3 2 9" xfId="4606" xr:uid="{00000000-0005-0000-0000-000014080000}"/>
    <cellStyle name="Comma 4 2 2 3 2 9 2" xfId="13045" xr:uid="{BA5FB0C1-4832-48B3-BCAE-93A929ACE99B}"/>
    <cellStyle name="Comma 4 2 2 3 3" xfId="670" xr:uid="{00000000-0005-0000-0000-000015080000}"/>
    <cellStyle name="Comma 4 2 2 3 3 2" xfId="2941" xr:uid="{00000000-0005-0000-0000-000016080000}"/>
    <cellStyle name="Comma 4 2 2 3 3 2 2" xfId="7164" xr:uid="{00000000-0005-0000-0000-000017080000}"/>
    <cellStyle name="Comma 4 2 2 3 3 2 2 2" xfId="15603" xr:uid="{EADFBFFF-4B65-48A9-A182-E611C386A5A6}"/>
    <cellStyle name="Comma 4 2 2 3 3 2 3" xfId="11385" xr:uid="{B68FD87B-F123-4708-AB9B-FB6D78AD8750}"/>
    <cellStyle name="Comma 4 2 2 3 3 3" xfId="5019" xr:uid="{00000000-0005-0000-0000-000018080000}"/>
    <cellStyle name="Comma 4 2 2 3 3 3 2" xfId="13458" xr:uid="{4766BED6-07AC-4E86-B9F0-7FC917E7CA06}"/>
    <cellStyle name="Comma 4 2 2 3 3 4" xfId="9240" xr:uid="{412A3ABA-A358-4713-B335-BC368C59FAC3}"/>
    <cellStyle name="Comma 4 2 2 3 4" xfId="1123" xr:uid="{00000000-0005-0000-0000-000019080000}"/>
    <cellStyle name="Comma 4 2 2 3 4 2" xfId="3354" xr:uid="{00000000-0005-0000-0000-00001A080000}"/>
    <cellStyle name="Comma 4 2 2 3 4 2 2" xfId="7577" xr:uid="{00000000-0005-0000-0000-00001B080000}"/>
    <cellStyle name="Comma 4 2 2 3 4 2 2 2" xfId="16016" xr:uid="{A4F4711A-7A0B-45A5-8D31-20916CD5EF26}"/>
    <cellStyle name="Comma 4 2 2 3 4 2 3" xfId="11798" xr:uid="{499B73C2-DF98-4BBD-8E8E-434ADF170473}"/>
    <cellStyle name="Comma 4 2 2 3 4 3" xfId="5432" xr:uid="{00000000-0005-0000-0000-00001C080000}"/>
    <cellStyle name="Comma 4 2 2 3 4 3 2" xfId="13871" xr:uid="{0C428BBB-CCBE-4979-8523-DC43FBB74657}"/>
    <cellStyle name="Comma 4 2 2 3 4 4" xfId="9653" xr:uid="{E10CB9F3-73C7-4B1A-827F-2138652B001F}"/>
    <cellStyle name="Comma 4 2 2 3 5" xfId="1537" xr:uid="{00000000-0005-0000-0000-00001D080000}"/>
    <cellStyle name="Comma 4 2 2 3 5 2" xfId="3767" xr:uid="{00000000-0005-0000-0000-00001E080000}"/>
    <cellStyle name="Comma 4 2 2 3 5 2 2" xfId="7990" xr:uid="{00000000-0005-0000-0000-00001F080000}"/>
    <cellStyle name="Comma 4 2 2 3 5 2 2 2" xfId="16429" xr:uid="{0F760273-A62C-4796-9073-CC6C521797B9}"/>
    <cellStyle name="Comma 4 2 2 3 5 2 3" xfId="12211" xr:uid="{5F521C56-5DE8-4E00-92FF-9310C2D8E49D}"/>
    <cellStyle name="Comma 4 2 2 3 5 3" xfId="5845" xr:uid="{00000000-0005-0000-0000-000020080000}"/>
    <cellStyle name="Comma 4 2 2 3 5 3 2" xfId="14284" xr:uid="{514268DF-47EE-4721-BAAF-183383FEBB79}"/>
    <cellStyle name="Comma 4 2 2 3 5 4" xfId="10066" xr:uid="{6444ACC8-F82F-4EF1-9D62-B089BBFC6EC9}"/>
    <cellStyle name="Comma 4 2 2 3 6" xfId="1951" xr:uid="{00000000-0005-0000-0000-000021080000}"/>
    <cellStyle name="Comma 4 2 2 3 6 2" xfId="4180" xr:uid="{00000000-0005-0000-0000-000022080000}"/>
    <cellStyle name="Comma 4 2 2 3 6 2 2" xfId="8403" xr:uid="{00000000-0005-0000-0000-000023080000}"/>
    <cellStyle name="Comma 4 2 2 3 6 2 2 2" xfId="16842" xr:uid="{850B9806-4282-4B28-B78A-AC04CA0FF4F9}"/>
    <cellStyle name="Comma 4 2 2 3 6 2 3" xfId="12624" xr:uid="{54EA2BCB-59B6-4FCF-A285-F26EDBAE8E8F}"/>
    <cellStyle name="Comma 4 2 2 3 6 3" xfId="6258" xr:uid="{00000000-0005-0000-0000-000024080000}"/>
    <cellStyle name="Comma 4 2 2 3 6 3 2" xfId="14697" xr:uid="{FCD8FAF8-6084-4AC0-9223-752A203115E5}"/>
    <cellStyle name="Comma 4 2 2 3 6 4" xfId="10479" xr:uid="{590E06C3-339C-44EE-B823-23BA6F109F54}"/>
    <cellStyle name="Comma 4 2 2 3 7" xfId="2386" xr:uid="{00000000-0005-0000-0000-000025080000}"/>
    <cellStyle name="Comma 4 2 2 3 7 2" xfId="6671" xr:uid="{00000000-0005-0000-0000-000026080000}"/>
    <cellStyle name="Comma 4 2 2 3 7 2 2" xfId="15110" xr:uid="{D13125F4-F9AE-4678-8372-D5A0AB8C665D}"/>
    <cellStyle name="Comma 4 2 2 3 7 3" xfId="10892" xr:uid="{CF89D727-C912-4B69-90D9-72FF6C6FA09D}"/>
    <cellStyle name="Comma 4 2 2 3 8" xfId="2377" xr:uid="{00000000-0005-0000-0000-000027080000}"/>
    <cellStyle name="Comma 4 2 2 3 9" xfId="2764" xr:uid="{00000000-0005-0000-0000-000028080000}"/>
    <cellStyle name="Comma 4 2 2 3 9 2" xfId="6988" xr:uid="{00000000-0005-0000-0000-000029080000}"/>
    <cellStyle name="Comma 4 2 2 3 9 2 2" xfId="15427" xr:uid="{58050583-958A-456B-A6B6-7262E12C2FB2}"/>
    <cellStyle name="Comma 4 2 2 3 9 3" xfId="11209" xr:uid="{1534516A-8AD9-4CE4-A182-E9ED5DA013F0}"/>
    <cellStyle name="Comma 4 2 2 4" xfId="134" xr:uid="{00000000-0005-0000-0000-00002A080000}"/>
    <cellStyle name="Comma 4 2 2 4 10" xfId="8828" xr:uid="{FD126B29-D10B-4AE1-99E0-BA4D3F921015}"/>
    <cellStyle name="Comma 4 2 2 4 2" xfId="672" xr:uid="{00000000-0005-0000-0000-00002B080000}"/>
    <cellStyle name="Comma 4 2 2 4 2 2" xfId="2943" xr:uid="{00000000-0005-0000-0000-00002C080000}"/>
    <cellStyle name="Comma 4 2 2 4 2 2 2" xfId="7166" xr:uid="{00000000-0005-0000-0000-00002D080000}"/>
    <cellStyle name="Comma 4 2 2 4 2 2 2 2" xfId="15605" xr:uid="{B158ADBD-0E2A-4CCD-87D1-C3273D95728F}"/>
    <cellStyle name="Comma 4 2 2 4 2 2 3" xfId="11387" xr:uid="{4F3A63D5-7FD2-40DE-81C5-0A07ECC26B71}"/>
    <cellStyle name="Comma 4 2 2 4 2 3" xfId="5021" xr:uid="{00000000-0005-0000-0000-00002E080000}"/>
    <cellStyle name="Comma 4 2 2 4 2 3 2" xfId="13460" xr:uid="{3F206CED-4EDD-49A2-A21A-46D7CF7F936A}"/>
    <cellStyle name="Comma 4 2 2 4 2 4" xfId="9242" xr:uid="{AD3BBBBA-D64A-43A6-A6D3-9D51C902F0E2}"/>
    <cellStyle name="Comma 4 2 2 4 3" xfId="1125" xr:uid="{00000000-0005-0000-0000-00002F080000}"/>
    <cellStyle name="Comma 4 2 2 4 3 2" xfId="3356" xr:uid="{00000000-0005-0000-0000-000030080000}"/>
    <cellStyle name="Comma 4 2 2 4 3 2 2" xfId="7579" xr:uid="{00000000-0005-0000-0000-000031080000}"/>
    <cellStyle name="Comma 4 2 2 4 3 2 2 2" xfId="16018" xr:uid="{8DE5AA94-06FC-4289-8D14-31D5A4F9977F}"/>
    <cellStyle name="Comma 4 2 2 4 3 2 3" xfId="11800" xr:uid="{124EBFA4-CFC2-4667-894A-9F7B4A6F6EEC}"/>
    <cellStyle name="Comma 4 2 2 4 3 3" xfId="5434" xr:uid="{00000000-0005-0000-0000-000032080000}"/>
    <cellStyle name="Comma 4 2 2 4 3 3 2" xfId="13873" xr:uid="{628D5CE3-FBE6-4439-ADD4-A30D4C7F5C28}"/>
    <cellStyle name="Comma 4 2 2 4 3 4" xfId="9655" xr:uid="{98E1624D-B651-4A15-B4CB-377EE89F9849}"/>
    <cellStyle name="Comma 4 2 2 4 4" xfId="1539" xr:uid="{00000000-0005-0000-0000-000033080000}"/>
    <cellStyle name="Comma 4 2 2 4 4 2" xfId="3769" xr:uid="{00000000-0005-0000-0000-000034080000}"/>
    <cellStyle name="Comma 4 2 2 4 4 2 2" xfId="7992" xr:uid="{00000000-0005-0000-0000-000035080000}"/>
    <cellStyle name="Comma 4 2 2 4 4 2 2 2" xfId="16431" xr:uid="{D133522F-390B-4EA9-9300-1EEB9AA6C37A}"/>
    <cellStyle name="Comma 4 2 2 4 4 2 3" xfId="12213" xr:uid="{1A4E89BE-99EA-4DD6-8793-0B3ACD1E7171}"/>
    <cellStyle name="Comma 4 2 2 4 4 3" xfId="5847" xr:uid="{00000000-0005-0000-0000-000036080000}"/>
    <cellStyle name="Comma 4 2 2 4 4 3 2" xfId="14286" xr:uid="{81892276-0283-4366-9649-196CBDDC6A9D}"/>
    <cellStyle name="Comma 4 2 2 4 4 4" xfId="10068" xr:uid="{152DFC3E-4F26-4748-AA83-7DE2B526B242}"/>
    <cellStyle name="Comma 4 2 2 4 5" xfId="1953" xr:uid="{00000000-0005-0000-0000-000037080000}"/>
    <cellStyle name="Comma 4 2 2 4 5 2" xfId="4182" xr:uid="{00000000-0005-0000-0000-000038080000}"/>
    <cellStyle name="Comma 4 2 2 4 5 2 2" xfId="8405" xr:uid="{00000000-0005-0000-0000-000039080000}"/>
    <cellStyle name="Comma 4 2 2 4 5 2 2 2" xfId="16844" xr:uid="{50C15178-A286-49DD-B2DF-52CEC37FDCE7}"/>
    <cellStyle name="Comma 4 2 2 4 5 2 3" xfId="12626" xr:uid="{23CA5F41-ACD8-46B9-A04D-154D96116815}"/>
    <cellStyle name="Comma 4 2 2 4 5 3" xfId="6260" xr:uid="{00000000-0005-0000-0000-00003A080000}"/>
    <cellStyle name="Comma 4 2 2 4 5 3 2" xfId="14699" xr:uid="{968EF6C6-E24B-4263-A3AC-A27EEDE9DCE0}"/>
    <cellStyle name="Comma 4 2 2 4 5 4" xfId="10481" xr:uid="{57C83A15-A490-44C8-8CAD-7E37CEA8B55F}"/>
    <cellStyle name="Comma 4 2 2 4 6" xfId="2388" xr:uid="{00000000-0005-0000-0000-00003B080000}"/>
    <cellStyle name="Comma 4 2 2 4 6 2" xfId="6673" xr:uid="{00000000-0005-0000-0000-00003C080000}"/>
    <cellStyle name="Comma 4 2 2 4 6 2 2" xfId="15112" xr:uid="{AEA8BBE5-0ECA-4443-8ACB-043B995F400A}"/>
    <cellStyle name="Comma 4 2 2 4 6 3" xfId="10894" xr:uid="{7BE68EB9-A210-43D2-8954-C12F2355E46F}"/>
    <cellStyle name="Comma 4 2 2 4 7" xfId="2375" xr:uid="{00000000-0005-0000-0000-00003D080000}"/>
    <cellStyle name="Comma 4 2 2 4 8" xfId="2766" xr:uid="{00000000-0005-0000-0000-00003E080000}"/>
    <cellStyle name="Comma 4 2 2 4 8 2" xfId="6990" xr:uid="{00000000-0005-0000-0000-00003F080000}"/>
    <cellStyle name="Comma 4 2 2 4 8 2 2" xfId="15429" xr:uid="{007D244A-971A-41A7-BB29-289CE3B661F7}"/>
    <cellStyle name="Comma 4 2 2 4 8 3" xfId="11211" xr:uid="{D3FD42A3-24D7-45E9-ADE9-CB0174DECBDA}"/>
    <cellStyle name="Comma 4 2 2 4 9" xfId="4607" xr:uid="{00000000-0005-0000-0000-000040080000}"/>
    <cellStyle name="Comma 4 2 2 4 9 2" xfId="13046" xr:uid="{EAEE0D0E-8E1F-4C1B-81FD-C29C7CAEAB3F}"/>
    <cellStyle name="Comma 4 2 2 5" xfId="135" xr:uid="{00000000-0005-0000-0000-000041080000}"/>
    <cellStyle name="Comma 4 2 2 5 10" xfId="8829" xr:uid="{3850AF4F-3D6F-41B2-80F5-EB6B30332EE0}"/>
    <cellStyle name="Comma 4 2 2 5 2" xfId="673" xr:uid="{00000000-0005-0000-0000-000042080000}"/>
    <cellStyle name="Comma 4 2 2 5 2 2" xfId="2944" xr:uid="{00000000-0005-0000-0000-000043080000}"/>
    <cellStyle name="Comma 4 2 2 5 2 2 2" xfId="7167" xr:uid="{00000000-0005-0000-0000-000044080000}"/>
    <cellStyle name="Comma 4 2 2 5 2 2 2 2" xfId="15606" xr:uid="{9AEDCDC1-2C57-4715-95D4-3C1326111FD7}"/>
    <cellStyle name="Comma 4 2 2 5 2 2 3" xfId="11388" xr:uid="{A6063F0B-B40B-43F1-8E3D-BB1288162FE0}"/>
    <cellStyle name="Comma 4 2 2 5 2 3" xfId="5022" xr:uid="{00000000-0005-0000-0000-000045080000}"/>
    <cellStyle name="Comma 4 2 2 5 2 3 2" xfId="13461" xr:uid="{3A3E5BB3-6810-45CE-88AC-525CBD386035}"/>
    <cellStyle name="Comma 4 2 2 5 2 4" xfId="9243" xr:uid="{4042D5C3-E64E-43BA-AAB9-57EAEB5D2132}"/>
    <cellStyle name="Comma 4 2 2 5 3" xfId="1126" xr:uid="{00000000-0005-0000-0000-000046080000}"/>
    <cellStyle name="Comma 4 2 2 5 3 2" xfId="3357" xr:uid="{00000000-0005-0000-0000-000047080000}"/>
    <cellStyle name="Comma 4 2 2 5 3 2 2" xfId="7580" xr:uid="{00000000-0005-0000-0000-000048080000}"/>
    <cellStyle name="Comma 4 2 2 5 3 2 2 2" xfId="16019" xr:uid="{805F51F2-46D9-42FC-BBE3-96AEF5F9BF51}"/>
    <cellStyle name="Comma 4 2 2 5 3 2 3" xfId="11801" xr:uid="{89BD8BE2-A248-4C4B-88FB-4B41D91AB8C0}"/>
    <cellStyle name="Comma 4 2 2 5 3 3" xfId="5435" xr:uid="{00000000-0005-0000-0000-000049080000}"/>
    <cellStyle name="Comma 4 2 2 5 3 3 2" xfId="13874" xr:uid="{DFCBE33E-1B84-41BF-8127-AC70C27A59D8}"/>
    <cellStyle name="Comma 4 2 2 5 3 4" xfId="9656" xr:uid="{411FE065-0547-49A1-AFD7-156A60177506}"/>
    <cellStyle name="Comma 4 2 2 5 4" xfId="1540" xr:uid="{00000000-0005-0000-0000-00004A080000}"/>
    <cellStyle name="Comma 4 2 2 5 4 2" xfId="3770" xr:uid="{00000000-0005-0000-0000-00004B080000}"/>
    <cellStyle name="Comma 4 2 2 5 4 2 2" xfId="7993" xr:uid="{00000000-0005-0000-0000-00004C080000}"/>
    <cellStyle name="Comma 4 2 2 5 4 2 2 2" xfId="16432" xr:uid="{C7C8B5B5-9B91-4C39-A063-71FCAD35949A}"/>
    <cellStyle name="Comma 4 2 2 5 4 2 3" xfId="12214" xr:uid="{6C0FDB25-A85E-4107-8976-BA513AACC5CF}"/>
    <cellStyle name="Comma 4 2 2 5 4 3" xfId="5848" xr:uid="{00000000-0005-0000-0000-00004D080000}"/>
    <cellStyle name="Comma 4 2 2 5 4 3 2" xfId="14287" xr:uid="{3F9714A6-8DA9-4AFB-8781-B1520EC9ACD6}"/>
    <cellStyle name="Comma 4 2 2 5 4 4" xfId="10069" xr:uid="{22DC7F4E-0305-401F-9AF2-607414D46368}"/>
    <cellStyle name="Comma 4 2 2 5 5" xfId="1954" xr:uid="{00000000-0005-0000-0000-00004E080000}"/>
    <cellStyle name="Comma 4 2 2 5 5 2" xfId="4183" xr:uid="{00000000-0005-0000-0000-00004F080000}"/>
    <cellStyle name="Comma 4 2 2 5 5 2 2" xfId="8406" xr:uid="{00000000-0005-0000-0000-000050080000}"/>
    <cellStyle name="Comma 4 2 2 5 5 2 2 2" xfId="16845" xr:uid="{8BF67077-AF51-4BA9-9AE1-0868FE191533}"/>
    <cellStyle name="Comma 4 2 2 5 5 2 3" xfId="12627" xr:uid="{F4389C8E-3AED-4FC6-A745-C05D74ED615F}"/>
    <cellStyle name="Comma 4 2 2 5 5 3" xfId="6261" xr:uid="{00000000-0005-0000-0000-000051080000}"/>
    <cellStyle name="Comma 4 2 2 5 5 3 2" xfId="14700" xr:uid="{6EF73A46-6FC8-4C9B-9B63-7387B35B4C7D}"/>
    <cellStyle name="Comma 4 2 2 5 5 4" xfId="10482" xr:uid="{29F480F3-FC6F-40FC-8D8F-46FBBEB1A547}"/>
    <cellStyle name="Comma 4 2 2 5 6" xfId="2389" xr:uid="{00000000-0005-0000-0000-000052080000}"/>
    <cellStyle name="Comma 4 2 2 5 6 2" xfId="6674" xr:uid="{00000000-0005-0000-0000-000053080000}"/>
    <cellStyle name="Comma 4 2 2 5 6 2 2" xfId="15113" xr:uid="{48FF075A-01CE-4156-9BD4-F05CC8A2BD07}"/>
    <cellStyle name="Comma 4 2 2 5 6 3" xfId="10895" xr:uid="{F18099BF-38CA-47A1-8341-3B6A45B1803F}"/>
    <cellStyle name="Comma 4 2 2 5 7" xfId="2374" xr:uid="{00000000-0005-0000-0000-000054080000}"/>
    <cellStyle name="Comma 4 2 2 5 8" xfId="2767" xr:uid="{00000000-0005-0000-0000-000055080000}"/>
    <cellStyle name="Comma 4 2 2 5 8 2" xfId="6991" xr:uid="{00000000-0005-0000-0000-000056080000}"/>
    <cellStyle name="Comma 4 2 2 5 8 2 2" xfId="15430" xr:uid="{420B8421-BC87-47C7-9CCB-B0AAA9425A88}"/>
    <cellStyle name="Comma 4 2 2 5 8 3" xfId="11212" xr:uid="{BBCE7D7D-6821-4CD4-9F52-A201C0F91925}"/>
    <cellStyle name="Comma 4 2 2 5 9" xfId="4608" xr:uid="{00000000-0005-0000-0000-000057080000}"/>
    <cellStyle name="Comma 4 2 2 5 9 2" xfId="13047" xr:uid="{8927C3B6-3DFC-4BBA-B24D-63A5E065E968}"/>
    <cellStyle name="Comma 4 2 3" xfId="136" xr:uid="{00000000-0005-0000-0000-000058080000}"/>
    <cellStyle name="Comma 4 2 3 10" xfId="2768" xr:uid="{00000000-0005-0000-0000-000059080000}"/>
    <cellStyle name="Comma 4 2 3 10 2" xfId="6992" xr:uid="{00000000-0005-0000-0000-00005A080000}"/>
    <cellStyle name="Comma 4 2 3 10 2 2" xfId="15431" xr:uid="{CA7E470F-952C-4118-977B-B838FBE2A001}"/>
    <cellStyle name="Comma 4 2 3 10 3" xfId="11213" xr:uid="{FBA9D135-4A8A-42DC-B30F-EFEB732FC142}"/>
    <cellStyle name="Comma 4 2 3 11" xfId="4609" xr:uid="{00000000-0005-0000-0000-00005B080000}"/>
    <cellStyle name="Comma 4 2 3 11 2" xfId="13048" xr:uid="{A8476BCF-26BC-4016-9A95-33FC93012C22}"/>
    <cellStyle name="Comma 4 2 3 12" xfId="8830" xr:uid="{104BBF90-6D08-4E34-81A3-51A2FCEBB8EE}"/>
    <cellStyle name="Comma 4 2 3 2" xfId="137" xr:uid="{00000000-0005-0000-0000-00005C080000}"/>
    <cellStyle name="Comma 4 2 3 2 10" xfId="4610" xr:uid="{00000000-0005-0000-0000-00005D080000}"/>
    <cellStyle name="Comma 4 2 3 2 10 2" xfId="13049" xr:uid="{7B71C1B5-EBAC-48E8-9524-AE295645DB8E}"/>
    <cellStyle name="Comma 4 2 3 2 11" xfId="8831" xr:uid="{A20FC7A8-5688-49B5-BBC1-C71399AF42B6}"/>
    <cellStyle name="Comma 4 2 3 2 2" xfId="138" xr:uid="{00000000-0005-0000-0000-00005E080000}"/>
    <cellStyle name="Comma 4 2 3 2 2 10" xfId="8832" xr:uid="{29D5749D-1D1B-4C3F-BFD9-8628BACFEDBC}"/>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5609" xr:uid="{96A90E54-521E-4351-B0F2-0DE96A4B506B}"/>
    <cellStyle name="Comma 4 2 3 2 2 2 2 3" xfId="11391" xr:uid="{675A9098-40E6-44C6-9787-CF80E33A00AA}"/>
    <cellStyle name="Comma 4 2 3 2 2 2 3" xfId="5025" xr:uid="{00000000-0005-0000-0000-000062080000}"/>
    <cellStyle name="Comma 4 2 3 2 2 2 3 2" xfId="13464" xr:uid="{5CA20143-779C-4F08-B625-3B03E34CD05F}"/>
    <cellStyle name="Comma 4 2 3 2 2 2 4" xfId="9246" xr:uid="{F2E7EC6D-805B-4543-9525-540D51E831EA}"/>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16022" xr:uid="{CD2DED81-B12F-4DBF-94B7-D0C9CA4CC4E8}"/>
    <cellStyle name="Comma 4 2 3 2 2 3 2 3" xfId="11804" xr:uid="{BBE6E44C-2687-4544-9DDF-789A7952ED2D}"/>
    <cellStyle name="Comma 4 2 3 2 2 3 3" xfId="5438" xr:uid="{00000000-0005-0000-0000-000066080000}"/>
    <cellStyle name="Comma 4 2 3 2 2 3 3 2" xfId="13877" xr:uid="{38A105B0-18EA-4A95-A02F-6B2FA3C74105}"/>
    <cellStyle name="Comma 4 2 3 2 2 3 4" xfId="9659" xr:uid="{0F9FA8A7-B6C3-4874-8B5A-4764373FF9D4}"/>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16435" xr:uid="{10DD7EB9-EF84-41FB-BB50-73C544C7CCF2}"/>
    <cellStyle name="Comma 4 2 3 2 2 4 2 3" xfId="12217" xr:uid="{E284327F-1211-4341-927D-318311105321}"/>
    <cellStyle name="Comma 4 2 3 2 2 4 3" xfId="5851" xr:uid="{00000000-0005-0000-0000-00006A080000}"/>
    <cellStyle name="Comma 4 2 3 2 2 4 3 2" xfId="14290" xr:uid="{F115E5D5-6ABF-44D7-8D7F-2E3AE7DBC9D1}"/>
    <cellStyle name="Comma 4 2 3 2 2 4 4" xfId="10072" xr:uid="{2EA5FB0E-BC4D-42F5-B880-EBC341AA54D6}"/>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16848" xr:uid="{1A6725C7-58F0-4589-948F-4BF36BC984E5}"/>
    <cellStyle name="Comma 4 2 3 2 2 5 2 3" xfId="12630" xr:uid="{46E376A0-686C-4C10-B617-0530C7257662}"/>
    <cellStyle name="Comma 4 2 3 2 2 5 3" xfId="6264" xr:uid="{00000000-0005-0000-0000-00006E080000}"/>
    <cellStyle name="Comma 4 2 3 2 2 5 3 2" xfId="14703" xr:uid="{CED03BD0-6621-46C7-96FF-9DBF3283D0B3}"/>
    <cellStyle name="Comma 4 2 3 2 2 5 4" xfId="10485" xr:uid="{A9E807BD-9658-479A-8246-D3FA8EDF59C7}"/>
    <cellStyle name="Comma 4 2 3 2 2 6" xfId="2392" xr:uid="{00000000-0005-0000-0000-00006F080000}"/>
    <cellStyle name="Comma 4 2 3 2 2 6 2" xfId="6677" xr:uid="{00000000-0005-0000-0000-000070080000}"/>
    <cellStyle name="Comma 4 2 3 2 2 6 2 2" xfId="15116" xr:uid="{7F404D50-2DF4-434D-8EBE-F9BCA32775DA}"/>
    <cellStyle name="Comma 4 2 3 2 2 6 3" xfId="10898" xr:uid="{5622DBCF-7123-4161-9AA8-E0DF12649DC7}"/>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15433" xr:uid="{CE3C2712-77EB-4FE0-80FC-352997F2DA04}"/>
    <cellStyle name="Comma 4 2 3 2 2 8 3" xfId="11215" xr:uid="{26599A29-603B-4072-8246-54F96CDDA8AE}"/>
    <cellStyle name="Comma 4 2 3 2 2 9" xfId="4611" xr:uid="{00000000-0005-0000-0000-000074080000}"/>
    <cellStyle name="Comma 4 2 3 2 2 9 2" xfId="13050" xr:uid="{8C470C32-9943-4658-B2AA-875767FA0BA6}"/>
    <cellStyle name="Comma 4 2 3 2 3" xfId="675" xr:uid="{00000000-0005-0000-0000-000075080000}"/>
    <cellStyle name="Comma 4 2 3 2 3 2" xfId="2946" xr:uid="{00000000-0005-0000-0000-000076080000}"/>
    <cellStyle name="Comma 4 2 3 2 3 2 2" xfId="7169" xr:uid="{00000000-0005-0000-0000-000077080000}"/>
    <cellStyle name="Comma 4 2 3 2 3 2 2 2" xfId="15608" xr:uid="{6F5C2960-B569-4F4D-8501-EBDBC32355B4}"/>
    <cellStyle name="Comma 4 2 3 2 3 2 3" xfId="11390" xr:uid="{8FD6C511-DB0E-42AD-BFD6-A01E5FF85332}"/>
    <cellStyle name="Comma 4 2 3 2 3 3" xfId="5024" xr:uid="{00000000-0005-0000-0000-000078080000}"/>
    <cellStyle name="Comma 4 2 3 2 3 3 2" xfId="13463" xr:uid="{C4AB8A84-669B-40EC-8C11-C91DA0D026CF}"/>
    <cellStyle name="Comma 4 2 3 2 3 4" xfId="9245" xr:uid="{BDC57771-BE4C-47FE-B0D8-8275D70FEFF7}"/>
    <cellStyle name="Comma 4 2 3 2 4" xfId="1128" xr:uid="{00000000-0005-0000-0000-000079080000}"/>
    <cellStyle name="Comma 4 2 3 2 4 2" xfId="3359" xr:uid="{00000000-0005-0000-0000-00007A080000}"/>
    <cellStyle name="Comma 4 2 3 2 4 2 2" xfId="7582" xr:uid="{00000000-0005-0000-0000-00007B080000}"/>
    <cellStyle name="Comma 4 2 3 2 4 2 2 2" xfId="16021" xr:uid="{EC86DBFA-6DE8-49D8-B310-5EC1CD9CDC0F}"/>
    <cellStyle name="Comma 4 2 3 2 4 2 3" xfId="11803" xr:uid="{8AAB6807-DC3F-41AD-9741-8932E8E18076}"/>
    <cellStyle name="Comma 4 2 3 2 4 3" xfId="5437" xr:uid="{00000000-0005-0000-0000-00007C080000}"/>
    <cellStyle name="Comma 4 2 3 2 4 3 2" xfId="13876" xr:uid="{001C6458-133E-414E-A0B8-29060CE2D56A}"/>
    <cellStyle name="Comma 4 2 3 2 4 4" xfId="9658" xr:uid="{9F76F0E8-E37B-4C72-8917-2DE493CCA153}"/>
    <cellStyle name="Comma 4 2 3 2 5" xfId="1542" xr:uid="{00000000-0005-0000-0000-00007D080000}"/>
    <cellStyle name="Comma 4 2 3 2 5 2" xfId="3772" xr:uid="{00000000-0005-0000-0000-00007E080000}"/>
    <cellStyle name="Comma 4 2 3 2 5 2 2" xfId="7995" xr:uid="{00000000-0005-0000-0000-00007F080000}"/>
    <cellStyle name="Comma 4 2 3 2 5 2 2 2" xfId="16434" xr:uid="{C0F3124E-BE0A-457C-B933-B92E98EB28BE}"/>
    <cellStyle name="Comma 4 2 3 2 5 2 3" xfId="12216" xr:uid="{46BC9760-181E-41EE-B7B2-9703E2BA4DF9}"/>
    <cellStyle name="Comma 4 2 3 2 5 3" xfId="5850" xr:uid="{00000000-0005-0000-0000-000080080000}"/>
    <cellStyle name="Comma 4 2 3 2 5 3 2" xfId="14289" xr:uid="{C7C63470-861D-48BE-BD99-3EBE2F0E658F}"/>
    <cellStyle name="Comma 4 2 3 2 5 4" xfId="10071" xr:uid="{913D4C5D-E53F-4C24-ABE5-CC3EE1E7DEBB}"/>
    <cellStyle name="Comma 4 2 3 2 6" xfId="1956" xr:uid="{00000000-0005-0000-0000-000081080000}"/>
    <cellStyle name="Comma 4 2 3 2 6 2" xfId="4185" xr:uid="{00000000-0005-0000-0000-000082080000}"/>
    <cellStyle name="Comma 4 2 3 2 6 2 2" xfId="8408" xr:uid="{00000000-0005-0000-0000-000083080000}"/>
    <cellStyle name="Comma 4 2 3 2 6 2 2 2" xfId="16847" xr:uid="{937CCB94-A5D5-4B6D-9F89-CA8EE19861D6}"/>
    <cellStyle name="Comma 4 2 3 2 6 2 3" xfId="12629" xr:uid="{B9674BB3-95D3-413A-A86C-97309632AAE0}"/>
    <cellStyle name="Comma 4 2 3 2 6 3" xfId="6263" xr:uid="{00000000-0005-0000-0000-000084080000}"/>
    <cellStyle name="Comma 4 2 3 2 6 3 2" xfId="14702" xr:uid="{155B4C59-FEBC-4350-AB24-E13D031C7A57}"/>
    <cellStyle name="Comma 4 2 3 2 6 4" xfId="10484" xr:uid="{73602138-E7D6-4F35-8358-9EB9FE90CA83}"/>
    <cellStyle name="Comma 4 2 3 2 7" xfId="2391" xr:uid="{00000000-0005-0000-0000-000085080000}"/>
    <cellStyle name="Comma 4 2 3 2 7 2" xfId="6676" xr:uid="{00000000-0005-0000-0000-000086080000}"/>
    <cellStyle name="Comma 4 2 3 2 7 2 2" xfId="15115" xr:uid="{58D0314E-F08D-43D6-8AEE-FF2BB19E57E3}"/>
    <cellStyle name="Comma 4 2 3 2 7 3" xfId="10897" xr:uid="{86BAF307-5B75-47DD-9D1F-E776B44C700F}"/>
    <cellStyle name="Comma 4 2 3 2 8" xfId="2372" xr:uid="{00000000-0005-0000-0000-000087080000}"/>
    <cellStyle name="Comma 4 2 3 2 9" xfId="2769" xr:uid="{00000000-0005-0000-0000-000088080000}"/>
    <cellStyle name="Comma 4 2 3 2 9 2" xfId="6993" xr:uid="{00000000-0005-0000-0000-000089080000}"/>
    <cellStyle name="Comma 4 2 3 2 9 2 2" xfId="15432" xr:uid="{E6C82D70-AF3C-4A2B-8836-D47E75EAE40D}"/>
    <cellStyle name="Comma 4 2 3 2 9 3" xfId="11214" xr:uid="{696D3CD3-4B37-4319-BB55-D3F7433D9D48}"/>
    <cellStyle name="Comma 4 2 3 3" xfId="139" xr:uid="{00000000-0005-0000-0000-00008A080000}"/>
    <cellStyle name="Comma 4 2 3 3 10" xfId="8833" xr:uid="{B3CB06BC-C205-4FC0-BE20-A14431014706}"/>
    <cellStyle name="Comma 4 2 3 3 2" xfId="677" xr:uid="{00000000-0005-0000-0000-00008B080000}"/>
    <cellStyle name="Comma 4 2 3 3 2 2" xfId="2948" xr:uid="{00000000-0005-0000-0000-00008C080000}"/>
    <cellStyle name="Comma 4 2 3 3 2 2 2" xfId="7171" xr:uid="{00000000-0005-0000-0000-00008D080000}"/>
    <cellStyle name="Comma 4 2 3 3 2 2 2 2" xfId="15610" xr:uid="{97B25A8C-BB97-4CF6-BB3A-CB885F86F12A}"/>
    <cellStyle name="Comma 4 2 3 3 2 2 3" xfId="11392" xr:uid="{D3C17DA6-354C-4A94-8B1D-2570BEF3FF8D}"/>
    <cellStyle name="Comma 4 2 3 3 2 3" xfId="5026" xr:uid="{00000000-0005-0000-0000-00008E080000}"/>
    <cellStyle name="Comma 4 2 3 3 2 3 2" xfId="13465" xr:uid="{65CE5668-AD7E-4105-A19F-651B84F8BB29}"/>
    <cellStyle name="Comma 4 2 3 3 2 4" xfId="9247" xr:uid="{6B0F9863-8FFD-4CDA-91C8-B5C7B302CCCB}"/>
    <cellStyle name="Comma 4 2 3 3 3" xfId="1130" xr:uid="{00000000-0005-0000-0000-00008F080000}"/>
    <cellStyle name="Comma 4 2 3 3 3 2" xfId="3361" xr:uid="{00000000-0005-0000-0000-000090080000}"/>
    <cellStyle name="Comma 4 2 3 3 3 2 2" xfId="7584" xr:uid="{00000000-0005-0000-0000-000091080000}"/>
    <cellStyle name="Comma 4 2 3 3 3 2 2 2" xfId="16023" xr:uid="{6DE63631-C7A2-44C3-ABB1-BB35ACC84B8E}"/>
    <cellStyle name="Comma 4 2 3 3 3 2 3" xfId="11805" xr:uid="{617CF7CA-52CB-4082-A38B-3F8F936D2223}"/>
    <cellStyle name="Comma 4 2 3 3 3 3" xfId="5439" xr:uid="{00000000-0005-0000-0000-000092080000}"/>
    <cellStyle name="Comma 4 2 3 3 3 3 2" xfId="13878" xr:uid="{4CD1BD66-DBB6-4894-8D5C-9068846DFCED}"/>
    <cellStyle name="Comma 4 2 3 3 3 4" xfId="9660" xr:uid="{5DDED6BE-F659-4C38-970F-21F999E11E30}"/>
    <cellStyle name="Comma 4 2 3 3 4" xfId="1544" xr:uid="{00000000-0005-0000-0000-000093080000}"/>
    <cellStyle name="Comma 4 2 3 3 4 2" xfId="3774" xr:uid="{00000000-0005-0000-0000-000094080000}"/>
    <cellStyle name="Comma 4 2 3 3 4 2 2" xfId="7997" xr:uid="{00000000-0005-0000-0000-000095080000}"/>
    <cellStyle name="Comma 4 2 3 3 4 2 2 2" xfId="16436" xr:uid="{69C3710C-240F-4382-AB53-D8A7DB6221D8}"/>
    <cellStyle name="Comma 4 2 3 3 4 2 3" xfId="12218" xr:uid="{A3284C21-F703-4985-B6B8-189E4E06C4A5}"/>
    <cellStyle name="Comma 4 2 3 3 4 3" xfId="5852" xr:uid="{00000000-0005-0000-0000-000096080000}"/>
    <cellStyle name="Comma 4 2 3 3 4 3 2" xfId="14291" xr:uid="{6DC37474-97FF-4858-8D3B-DC33EC491407}"/>
    <cellStyle name="Comma 4 2 3 3 4 4" xfId="10073" xr:uid="{9864522F-F289-4D9E-9538-2BB05017C378}"/>
    <cellStyle name="Comma 4 2 3 3 5" xfId="1958" xr:uid="{00000000-0005-0000-0000-000097080000}"/>
    <cellStyle name="Comma 4 2 3 3 5 2" xfId="4187" xr:uid="{00000000-0005-0000-0000-000098080000}"/>
    <cellStyle name="Comma 4 2 3 3 5 2 2" xfId="8410" xr:uid="{00000000-0005-0000-0000-000099080000}"/>
    <cellStyle name="Comma 4 2 3 3 5 2 2 2" xfId="16849" xr:uid="{7B079566-44CC-4433-A7FA-092BCD09E209}"/>
    <cellStyle name="Comma 4 2 3 3 5 2 3" xfId="12631" xr:uid="{05FAB0C5-95D3-408D-AFDA-325C4EB4534E}"/>
    <cellStyle name="Comma 4 2 3 3 5 3" xfId="6265" xr:uid="{00000000-0005-0000-0000-00009A080000}"/>
    <cellStyle name="Comma 4 2 3 3 5 3 2" xfId="14704" xr:uid="{86E3650A-295A-4151-A322-117CF7CA4E2F}"/>
    <cellStyle name="Comma 4 2 3 3 5 4" xfId="10486" xr:uid="{7075B95F-AD9D-438F-A768-C07B36A083A9}"/>
    <cellStyle name="Comma 4 2 3 3 6" xfId="2393" xr:uid="{00000000-0005-0000-0000-00009B080000}"/>
    <cellStyle name="Comma 4 2 3 3 6 2" xfId="6678" xr:uid="{00000000-0005-0000-0000-00009C080000}"/>
    <cellStyle name="Comma 4 2 3 3 6 2 2" xfId="15117" xr:uid="{C9F9B2A9-6EF1-42A9-B592-74B2BFD366E8}"/>
    <cellStyle name="Comma 4 2 3 3 6 3" xfId="10899" xr:uid="{8DA684AD-261F-43F1-9542-8E9821263968}"/>
    <cellStyle name="Comma 4 2 3 3 7" xfId="2370" xr:uid="{00000000-0005-0000-0000-00009D080000}"/>
    <cellStyle name="Comma 4 2 3 3 8" xfId="2771" xr:uid="{00000000-0005-0000-0000-00009E080000}"/>
    <cellStyle name="Comma 4 2 3 3 8 2" xfId="6995" xr:uid="{00000000-0005-0000-0000-00009F080000}"/>
    <cellStyle name="Comma 4 2 3 3 8 2 2" xfId="15434" xr:uid="{42007FF9-0494-4037-9966-A7FFEA0A48AE}"/>
    <cellStyle name="Comma 4 2 3 3 8 3" xfId="11216" xr:uid="{2ECA8E0F-7B53-4C5E-A1FE-43384E0907B5}"/>
    <cellStyle name="Comma 4 2 3 3 9" xfId="4612" xr:uid="{00000000-0005-0000-0000-0000A0080000}"/>
    <cellStyle name="Comma 4 2 3 3 9 2" xfId="13051" xr:uid="{522C8AF3-32CD-4281-BEDD-BD19DEA79A26}"/>
    <cellStyle name="Comma 4 2 3 4" xfId="674" xr:uid="{00000000-0005-0000-0000-0000A1080000}"/>
    <cellStyle name="Comma 4 2 3 4 2" xfId="2945" xr:uid="{00000000-0005-0000-0000-0000A2080000}"/>
    <cellStyle name="Comma 4 2 3 4 2 2" xfId="7168" xr:uid="{00000000-0005-0000-0000-0000A3080000}"/>
    <cellStyle name="Comma 4 2 3 4 2 2 2" xfId="15607" xr:uid="{60DB077A-B85E-4146-BC85-DFA538289706}"/>
    <cellStyle name="Comma 4 2 3 4 2 3" xfId="11389" xr:uid="{E799556A-7E1E-468C-9E06-9F2BA1453E11}"/>
    <cellStyle name="Comma 4 2 3 4 3" xfId="5023" xr:uid="{00000000-0005-0000-0000-0000A4080000}"/>
    <cellStyle name="Comma 4 2 3 4 3 2" xfId="13462" xr:uid="{F8EF2F85-F307-4F4E-8CFC-FDEBFE8329D8}"/>
    <cellStyle name="Comma 4 2 3 4 4" xfId="9244" xr:uid="{92802568-A88C-4DFF-8834-442BA37D7603}"/>
    <cellStyle name="Comma 4 2 3 5" xfId="1127" xr:uid="{00000000-0005-0000-0000-0000A5080000}"/>
    <cellStyle name="Comma 4 2 3 5 2" xfId="3358" xr:uid="{00000000-0005-0000-0000-0000A6080000}"/>
    <cellStyle name="Comma 4 2 3 5 2 2" xfId="7581" xr:uid="{00000000-0005-0000-0000-0000A7080000}"/>
    <cellStyle name="Comma 4 2 3 5 2 2 2" xfId="16020" xr:uid="{619CDD7F-8627-4CBC-8E9E-025459F676DE}"/>
    <cellStyle name="Comma 4 2 3 5 2 3" xfId="11802" xr:uid="{9026CDFD-1035-4F03-A646-AA42F9D30466}"/>
    <cellStyle name="Comma 4 2 3 5 3" xfId="5436" xr:uid="{00000000-0005-0000-0000-0000A8080000}"/>
    <cellStyle name="Comma 4 2 3 5 3 2" xfId="13875" xr:uid="{C4D463C6-ECF7-47DC-B2B8-04E5BE84B819}"/>
    <cellStyle name="Comma 4 2 3 5 4" xfId="9657" xr:uid="{AB8611D2-1060-400F-A829-3A102D5C7607}"/>
    <cellStyle name="Comma 4 2 3 6" xfId="1541" xr:uid="{00000000-0005-0000-0000-0000A9080000}"/>
    <cellStyle name="Comma 4 2 3 6 2" xfId="3771" xr:uid="{00000000-0005-0000-0000-0000AA080000}"/>
    <cellStyle name="Comma 4 2 3 6 2 2" xfId="7994" xr:uid="{00000000-0005-0000-0000-0000AB080000}"/>
    <cellStyle name="Comma 4 2 3 6 2 2 2" xfId="16433" xr:uid="{08974F0B-7A6C-423D-AD57-39BE23A5A71D}"/>
    <cellStyle name="Comma 4 2 3 6 2 3" xfId="12215" xr:uid="{E671389C-8F99-4487-B9FE-3CFA79344434}"/>
    <cellStyle name="Comma 4 2 3 6 3" xfId="5849" xr:uid="{00000000-0005-0000-0000-0000AC080000}"/>
    <cellStyle name="Comma 4 2 3 6 3 2" xfId="14288" xr:uid="{09AE1F38-3FC9-45AE-AAAC-375CFB49D294}"/>
    <cellStyle name="Comma 4 2 3 6 4" xfId="10070" xr:uid="{960181E2-511C-461E-B50C-3A5786957F52}"/>
    <cellStyle name="Comma 4 2 3 7" xfId="1955" xr:uid="{00000000-0005-0000-0000-0000AD080000}"/>
    <cellStyle name="Comma 4 2 3 7 2" xfId="4184" xr:uid="{00000000-0005-0000-0000-0000AE080000}"/>
    <cellStyle name="Comma 4 2 3 7 2 2" xfId="8407" xr:uid="{00000000-0005-0000-0000-0000AF080000}"/>
    <cellStyle name="Comma 4 2 3 7 2 2 2" xfId="16846" xr:uid="{E62D9145-0B8E-485B-837C-FE0D3BF882A5}"/>
    <cellStyle name="Comma 4 2 3 7 2 3" xfId="12628" xr:uid="{2D72EEE5-BD65-485C-8ACA-98190DED0BA7}"/>
    <cellStyle name="Comma 4 2 3 7 3" xfId="6262" xr:uid="{00000000-0005-0000-0000-0000B0080000}"/>
    <cellStyle name="Comma 4 2 3 7 3 2" xfId="14701" xr:uid="{1B9F63AF-8CA0-4EEB-92F0-FE609EF859E2}"/>
    <cellStyle name="Comma 4 2 3 7 4" xfId="10483" xr:uid="{FAA116A8-F3AD-46C2-AB17-131FB34CE42D}"/>
    <cellStyle name="Comma 4 2 3 8" xfId="2390" xr:uid="{00000000-0005-0000-0000-0000B1080000}"/>
    <cellStyle name="Comma 4 2 3 8 2" xfId="6675" xr:uid="{00000000-0005-0000-0000-0000B2080000}"/>
    <cellStyle name="Comma 4 2 3 8 2 2" xfId="15114" xr:uid="{3ECD6396-5C78-4738-B978-BEFC73E59F76}"/>
    <cellStyle name="Comma 4 2 3 8 3" xfId="10896" xr:uid="{1B9EAC2B-A909-41DB-89A0-109C3479767C}"/>
    <cellStyle name="Comma 4 2 3 9" xfId="2373" xr:uid="{00000000-0005-0000-0000-0000B3080000}"/>
    <cellStyle name="Comma 4 2 4" xfId="140" xr:uid="{00000000-0005-0000-0000-0000B4080000}"/>
    <cellStyle name="Comma 4 2 4 10" xfId="4613" xr:uid="{00000000-0005-0000-0000-0000B5080000}"/>
    <cellStyle name="Comma 4 2 4 10 2" xfId="13052" xr:uid="{948CAFAC-9E67-462C-A1DF-E0CAA28D63EA}"/>
    <cellStyle name="Comma 4 2 4 11" xfId="8834" xr:uid="{84DF6811-60D4-4A17-87E5-F0FB1F26DC39}"/>
    <cellStyle name="Comma 4 2 4 2" xfId="141" xr:uid="{00000000-0005-0000-0000-0000B6080000}"/>
    <cellStyle name="Comma 4 2 4 2 10" xfId="8835" xr:uid="{E038F0E0-517C-4353-85F5-D8A8CD18801A}"/>
    <cellStyle name="Comma 4 2 4 2 2" xfId="679" xr:uid="{00000000-0005-0000-0000-0000B7080000}"/>
    <cellStyle name="Comma 4 2 4 2 2 2" xfId="2950" xr:uid="{00000000-0005-0000-0000-0000B8080000}"/>
    <cellStyle name="Comma 4 2 4 2 2 2 2" xfId="7173" xr:uid="{00000000-0005-0000-0000-0000B9080000}"/>
    <cellStyle name="Comma 4 2 4 2 2 2 2 2" xfId="15612" xr:uid="{F536E243-775B-4091-A364-6FBEF50FD0DC}"/>
    <cellStyle name="Comma 4 2 4 2 2 2 3" xfId="11394" xr:uid="{2A00A38D-3744-4CD8-99F2-A89E93090173}"/>
    <cellStyle name="Comma 4 2 4 2 2 3" xfId="5028" xr:uid="{00000000-0005-0000-0000-0000BA080000}"/>
    <cellStyle name="Comma 4 2 4 2 2 3 2" xfId="13467" xr:uid="{58193924-2618-4183-944F-2902ABA06D10}"/>
    <cellStyle name="Comma 4 2 4 2 2 4" xfId="9249" xr:uid="{4C5A2A82-BE14-41A0-B25F-8A1DF6906E15}"/>
    <cellStyle name="Comma 4 2 4 2 3" xfId="1132" xr:uid="{00000000-0005-0000-0000-0000BB080000}"/>
    <cellStyle name="Comma 4 2 4 2 3 2" xfId="3363" xr:uid="{00000000-0005-0000-0000-0000BC080000}"/>
    <cellStyle name="Comma 4 2 4 2 3 2 2" xfId="7586" xr:uid="{00000000-0005-0000-0000-0000BD080000}"/>
    <cellStyle name="Comma 4 2 4 2 3 2 2 2" xfId="16025" xr:uid="{EB4576ED-F7BD-4E85-BB5B-97C8CC28729B}"/>
    <cellStyle name="Comma 4 2 4 2 3 2 3" xfId="11807" xr:uid="{E9F56CCF-BC43-4194-89F5-368C1AEE6F9B}"/>
    <cellStyle name="Comma 4 2 4 2 3 3" xfId="5441" xr:uid="{00000000-0005-0000-0000-0000BE080000}"/>
    <cellStyle name="Comma 4 2 4 2 3 3 2" xfId="13880" xr:uid="{B888244E-AAF3-47FE-8B63-5F27F9127C7E}"/>
    <cellStyle name="Comma 4 2 4 2 3 4" xfId="9662" xr:uid="{3C76E24E-AD2B-48FA-8F24-692F263C93D4}"/>
    <cellStyle name="Comma 4 2 4 2 4" xfId="1546" xr:uid="{00000000-0005-0000-0000-0000BF080000}"/>
    <cellStyle name="Comma 4 2 4 2 4 2" xfId="3776" xr:uid="{00000000-0005-0000-0000-0000C0080000}"/>
    <cellStyle name="Comma 4 2 4 2 4 2 2" xfId="7999" xr:uid="{00000000-0005-0000-0000-0000C1080000}"/>
    <cellStyle name="Comma 4 2 4 2 4 2 2 2" xfId="16438" xr:uid="{685D608E-E1E5-490C-AB19-DF5468384101}"/>
    <cellStyle name="Comma 4 2 4 2 4 2 3" xfId="12220" xr:uid="{1BF94D51-5CBF-4CAE-B856-4A37B09AFD1E}"/>
    <cellStyle name="Comma 4 2 4 2 4 3" xfId="5854" xr:uid="{00000000-0005-0000-0000-0000C2080000}"/>
    <cellStyle name="Comma 4 2 4 2 4 3 2" xfId="14293" xr:uid="{6CCFB124-5FDE-4D80-B6A3-FEAFE9A4E396}"/>
    <cellStyle name="Comma 4 2 4 2 4 4" xfId="10075" xr:uid="{0C0E0C12-5C7A-4116-AA7F-92BCBDC9EFA1}"/>
    <cellStyle name="Comma 4 2 4 2 5" xfId="1960" xr:uid="{00000000-0005-0000-0000-0000C3080000}"/>
    <cellStyle name="Comma 4 2 4 2 5 2" xfId="4189" xr:uid="{00000000-0005-0000-0000-0000C4080000}"/>
    <cellStyle name="Comma 4 2 4 2 5 2 2" xfId="8412" xr:uid="{00000000-0005-0000-0000-0000C5080000}"/>
    <cellStyle name="Comma 4 2 4 2 5 2 2 2" xfId="16851" xr:uid="{1B55851F-143B-49CB-82D8-EEED27F4E6D9}"/>
    <cellStyle name="Comma 4 2 4 2 5 2 3" xfId="12633" xr:uid="{87556398-CFCF-430C-AAA7-127C7FF6B12C}"/>
    <cellStyle name="Comma 4 2 4 2 5 3" xfId="6267" xr:uid="{00000000-0005-0000-0000-0000C6080000}"/>
    <cellStyle name="Comma 4 2 4 2 5 3 2" xfId="14706" xr:uid="{4C8062CD-D257-4EB4-A5EE-A2862C912100}"/>
    <cellStyle name="Comma 4 2 4 2 5 4" xfId="10488" xr:uid="{0EF4EFF5-AEC9-41B5-952E-46ACF984AF43}"/>
    <cellStyle name="Comma 4 2 4 2 6" xfId="2395" xr:uid="{00000000-0005-0000-0000-0000C7080000}"/>
    <cellStyle name="Comma 4 2 4 2 6 2" xfId="6680" xr:uid="{00000000-0005-0000-0000-0000C8080000}"/>
    <cellStyle name="Comma 4 2 4 2 6 2 2" xfId="15119" xr:uid="{78279D4E-DEB1-48D5-817C-D1A3485139C4}"/>
    <cellStyle name="Comma 4 2 4 2 6 3" xfId="10901" xr:uid="{5C158567-4CC0-45E8-8477-1E7FC68BD498}"/>
    <cellStyle name="Comma 4 2 4 2 7" xfId="2368" xr:uid="{00000000-0005-0000-0000-0000C9080000}"/>
    <cellStyle name="Comma 4 2 4 2 8" xfId="2773" xr:uid="{00000000-0005-0000-0000-0000CA080000}"/>
    <cellStyle name="Comma 4 2 4 2 8 2" xfId="6997" xr:uid="{00000000-0005-0000-0000-0000CB080000}"/>
    <cellStyle name="Comma 4 2 4 2 8 2 2" xfId="15436" xr:uid="{67B0E984-6D1A-4714-A2DA-E77E9AA6D54B}"/>
    <cellStyle name="Comma 4 2 4 2 8 3" xfId="11218" xr:uid="{3AE8B1BB-6EB7-4C21-A03D-898C5153F4AC}"/>
    <cellStyle name="Comma 4 2 4 2 9" xfId="4614" xr:uid="{00000000-0005-0000-0000-0000CC080000}"/>
    <cellStyle name="Comma 4 2 4 2 9 2" xfId="13053" xr:uid="{9082C5C8-0EFE-4C42-A4A9-FF8ABA83126F}"/>
    <cellStyle name="Comma 4 2 4 3" xfId="678" xr:uid="{00000000-0005-0000-0000-0000CD080000}"/>
    <cellStyle name="Comma 4 2 4 3 2" xfId="2949" xr:uid="{00000000-0005-0000-0000-0000CE080000}"/>
    <cellStyle name="Comma 4 2 4 3 2 2" xfId="7172" xr:uid="{00000000-0005-0000-0000-0000CF080000}"/>
    <cellStyle name="Comma 4 2 4 3 2 2 2" xfId="15611" xr:uid="{2AF6F8FA-3F3F-42AF-B20F-BC8D92101B6E}"/>
    <cellStyle name="Comma 4 2 4 3 2 3" xfId="11393" xr:uid="{4BD24E61-DF35-4EC2-B097-CA4EF308142E}"/>
    <cellStyle name="Comma 4 2 4 3 3" xfId="5027" xr:uid="{00000000-0005-0000-0000-0000D0080000}"/>
    <cellStyle name="Comma 4 2 4 3 3 2" xfId="13466" xr:uid="{B645414E-8E46-4FA3-9C02-9CC2B06A3592}"/>
    <cellStyle name="Comma 4 2 4 3 4" xfId="9248" xr:uid="{FFE6B9BE-1716-4E09-A0BE-F8D50EF0028B}"/>
    <cellStyle name="Comma 4 2 4 4" xfId="1131" xr:uid="{00000000-0005-0000-0000-0000D1080000}"/>
    <cellStyle name="Comma 4 2 4 4 2" xfId="3362" xr:uid="{00000000-0005-0000-0000-0000D2080000}"/>
    <cellStyle name="Comma 4 2 4 4 2 2" xfId="7585" xr:uid="{00000000-0005-0000-0000-0000D3080000}"/>
    <cellStyle name="Comma 4 2 4 4 2 2 2" xfId="16024" xr:uid="{9372E294-5B17-4D0A-A668-5186A79BB620}"/>
    <cellStyle name="Comma 4 2 4 4 2 3" xfId="11806" xr:uid="{D6384F7F-385F-4E49-8EE5-5FBD87261BE1}"/>
    <cellStyle name="Comma 4 2 4 4 3" xfId="5440" xr:uid="{00000000-0005-0000-0000-0000D4080000}"/>
    <cellStyle name="Comma 4 2 4 4 3 2" xfId="13879" xr:uid="{3E50A0F3-14BA-44D3-9988-7AC7A628FDE5}"/>
    <cellStyle name="Comma 4 2 4 4 4" xfId="9661" xr:uid="{3816C920-8268-4562-803D-AD0C9E228255}"/>
    <cellStyle name="Comma 4 2 4 5" xfId="1545" xr:uid="{00000000-0005-0000-0000-0000D5080000}"/>
    <cellStyle name="Comma 4 2 4 5 2" xfId="3775" xr:uid="{00000000-0005-0000-0000-0000D6080000}"/>
    <cellStyle name="Comma 4 2 4 5 2 2" xfId="7998" xr:uid="{00000000-0005-0000-0000-0000D7080000}"/>
    <cellStyle name="Comma 4 2 4 5 2 2 2" xfId="16437" xr:uid="{7239C4B1-FBE5-447D-AB15-66610F61D35A}"/>
    <cellStyle name="Comma 4 2 4 5 2 3" xfId="12219" xr:uid="{AF1BEC36-AA3D-496D-BC9C-E7642E9E73AF}"/>
    <cellStyle name="Comma 4 2 4 5 3" xfId="5853" xr:uid="{00000000-0005-0000-0000-0000D8080000}"/>
    <cellStyle name="Comma 4 2 4 5 3 2" xfId="14292" xr:uid="{5597BB3E-5106-47D5-8F8C-6E41D869365E}"/>
    <cellStyle name="Comma 4 2 4 5 4" xfId="10074" xr:uid="{07CABEB4-22C6-45F3-B7F9-A0BDA0E9F155}"/>
    <cellStyle name="Comma 4 2 4 6" xfId="1959" xr:uid="{00000000-0005-0000-0000-0000D9080000}"/>
    <cellStyle name="Comma 4 2 4 6 2" xfId="4188" xr:uid="{00000000-0005-0000-0000-0000DA080000}"/>
    <cellStyle name="Comma 4 2 4 6 2 2" xfId="8411" xr:uid="{00000000-0005-0000-0000-0000DB080000}"/>
    <cellStyle name="Comma 4 2 4 6 2 2 2" xfId="16850" xr:uid="{C77F38DC-E5D2-4A24-9071-FD05FB37A898}"/>
    <cellStyle name="Comma 4 2 4 6 2 3" xfId="12632" xr:uid="{3D01F311-4751-4B65-A204-C8FCBD573B0E}"/>
    <cellStyle name="Comma 4 2 4 6 3" xfId="6266" xr:uid="{00000000-0005-0000-0000-0000DC080000}"/>
    <cellStyle name="Comma 4 2 4 6 3 2" xfId="14705" xr:uid="{0EE4B6EF-B323-4B67-8464-8F295747ED64}"/>
    <cellStyle name="Comma 4 2 4 6 4" xfId="10487" xr:uid="{B68ACA48-DED8-4907-920A-693513AEA08F}"/>
    <cellStyle name="Comma 4 2 4 7" xfId="2394" xr:uid="{00000000-0005-0000-0000-0000DD080000}"/>
    <cellStyle name="Comma 4 2 4 7 2" xfId="6679" xr:uid="{00000000-0005-0000-0000-0000DE080000}"/>
    <cellStyle name="Comma 4 2 4 7 2 2" xfId="15118" xr:uid="{E45DADFE-42E8-49F7-927F-01B492958059}"/>
    <cellStyle name="Comma 4 2 4 7 3" xfId="10900" xr:uid="{B8BEBD16-AC49-408C-8E91-CED7310FE53E}"/>
    <cellStyle name="Comma 4 2 4 8" xfId="2369" xr:uid="{00000000-0005-0000-0000-0000DF080000}"/>
    <cellStyle name="Comma 4 2 4 9" xfId="2772" xr:uid="{00000000-0005-0000-0000-0000E0080000}"/>
    <cellStyle name="Comma 4 2 4 9 2" xfId="6996" xr:uid="{00000000-0005-0000-0000-0000E1080000}"/>
    <cellStyle name="Comma 4 2 4 9 2 2" xfId="15435" xr:uid="{A04189CD-6157-4612-B87B-A65D6CD0B71C}"/>
    <cellStyle name="Comma 4 2 4 9 3" xfId="11217" xr:uid="{A96646C6-DBA0-42C2-91C6-62F92EDC3CD0}"/>
    <cellStyle name="Comma 4 2 5" xfId="142" xr:uid="{00000000-0005-0000-0000-0000E2080000}"/>
    <cellStyle name="Comma 4 2 5 10" xfId="8836" xr:uid="{114C8971-39CA-47F7-89C3-315186FD30CF}"/>
    <cellStyle name="Comma 4 2 5 2" xfId="680" xr:uid="{00000000-0005-0000-0000-0000E3080000}"/>
    <cellStyle name="Comma 4 2 5 2 2" xfId="2951" xr:uid="{00000000-0005-0000-0000-0000E4080000}"/>
    <cellStyle name="Comma 4 2 5 2 2 2" xfId="7174" xr:uid="{00000000-0005-0000-0000-0000E5080000}"/>
    <cellStyle name="Comma 4 2 5 2 2 2 2" xfId="15613" xr:uid="{B6E1E07A-9DD8-4BCA-96F4-6E1CFF3BF230}"/>
    <cellStyle name="Comma 4 2 5 2 2 3" xfId="11395" xr:uid="{2F4C6746-EEEB-497D-AE51-03FF43AA2394}"/>
    <cellStyle name="Comma 4 2 5 2 3" xfId="5029" xr:uid="{00000000-0005-0000-0000-0000E6080000}"/>
    <cellStyle name="Comma 4 2 5 2 3 2" xfId="13468" xr:uid="{4B21449C-A4FB-4757-BE7C-7284079E83D3}"/>
    <cellStyle name="Comma 4 2 5 2 4" xfId="9250" xr:uid="{1C66F8A2-0E46-4386-AB2D-0731399F28D0}"/>
    <cellStyle name="Comma 4 2 5 3" xfId="1133" xr:uid="{00000000-0005-0000-0000-0000E7080000}"/>
    <cellStyle name="Comma 4 2 5 3 2" xfId="3364" xr:uid="{00000000-0005-0000-0000-0000E8080000}"/>
    <cellStyle name="Comma 4 2 5 3 2 2" xfId="7587" xr:uid="{00000000-0005-0000-0000-0000E9080000}"/>
    <cellStyle name="Comma 4 2 5 3 2 2 2" xfId="16026" xr:uid="{CEBFD198-289A-4E08-99F2-DCAF627BA92A}"/>
    <cellStyle name="Comma 4 2 5 3 2 3" xfId="11808" xr:uid="{00039644-C316-4B48-AE35-0D68BED1B5BE}"/>
    <cellStyle name="Comma 4 2 5 3 3" xfId="5442" xr:uid="{00000000-0005-0000-0000-0000EA080000}"/>
    <cellStyle name="Comma 4 2 5 3 3 2" xfId="13881" xr:uid="{809657DC-D965-4DEE-AD9F-54FB3D5CCCE0}"/>
    <cellStyle name="Comma 4 2 5 3 4" xfId="9663" xr:uid="{90D33D67-9526-4958-9E19-DA8EB3379AB0}"/>
    <cellStyle name="Comma 4 2 5 4" xfId="1547" xr:uid="{00000000-0005-0000-0000-0000EB080000}"/>
    <cellStyle name="Comma 4 2 5 4 2" xfId="3777" xr:uid="{00000000-0005-0000-0000-0000EC080000}"/>
    <cellStyle name="Comma 4 2 5 4 2 2" xfId="8000" xr:uid="{00000000-0005-0000-0000-0000ED080000}"/>
    <cellStyle name="Comma 4 2 5 4 2 2 2" xfId="16439" xr:uid="{C8B28E32-DF8C-4CBC-9889-21178436B1C8}"/>
    <cellStyle name="Comma 4 2 5 4 2 3" xfId="12221" xr:uid="{045CB305-B6FD-4302-845F-EF718A43FC73}"/>
    <cellStyle name="Comma 4 2 5 4 3" xfId="5855" xr:uid="{00000000-0005-0000-0000-0000EE080000}"/>
    <cellStyle name="Comma 4 2 5 4 3 2" xfId="14294" xr:uid="{54AE6361-8D8D-4E70-8BE9-0FD546850EB4}"/>
    <cellStyle name="Comma 4 2 5 4 4" xfId="10076" xr:uid="{43A22FE2-887C-4D3F-B2E3-6387A8D5B740}"/>
    <cellStyle name="Comma 4 2 5 5" xfId="1961" xr:uid="{00000000-0005-0000-0000-0000EF080000}"/>
    <cellStyle name="Comma 4 2 5 5 2" xfId="4190" xr:uid="{00000000-0005-0000-0000-0000F0080000}"/>
    <cellStyle name="Comma 4 2 5 5 2 2" xfId="8413" xr:uid="{00000000-0005-0000-0000-0000F1080000}"/>
    <cellStyle name="Comma 4 2 5 5 2 2 2" xfId="16852" xr:uid="{46A30820-1CB4-4CD5-9567-D240E9C180EF}"/>
    <cellStyle name="Comma 4 2 5 5 2 3" xfId="12634" xr:uid="{56489413-386F-4F5C-A1B3-FDBF893563B7}"/>
    <cellStyle name="Comma 4 2 5 5 3" xfId="6268" xr:uid="{00000000-0005-0000-0000-0000F2080000}"/>
    <cellStyle name="Comma 4 2 5 5 3 2" xfId="14707" xr:uid="{E8D998C8-6525-4CB4-8E6C-13CBCA1CC149}"/>
    <cellStyle name="Comma 4 2 5 5 4" xfId="10489" xr:uid="{C9D1407B-EEBE-49AB-9FCF-A2188AEB06E7}"/>
    <cellStyle name="Comma 4 2 5 6" xfId="2396" xr:uid="{00000000-0005-0000-0000-0000F3080000}"/>
    <cellStyle name="Comma 4 2 5 6 2" xfId="6681" xr:uid="{00000000-0005-0000-0000-0000F4080000}"/>
    <cellStyle name="Comma 4 2 5 6 2 2" xfId="15120" xr:uid="{23EDA1E6-72D9-4F9C-9288-88D375822C70}"/>
    <cellStyle name="Comma 4 2 5 6 3" xfId="10902" xr:uid="{B55AE494-49A9-4D5B-939E-C3909F6400B2}"/>
    <cellStyle name="Comma 4 2 5 7" xfId="2367" xr:uid="{00000000-0005-0000-0000-0000F5080000}"/>
    <cellStyle name="Comma 4 2 5 8" xfId="2774" xr:uid="{00000000-0005-0000-0000-0000F6080000}"/>
    <cellStyle name="Comma 4 2 5 8 2" xfId="6998" xr:uid="{00000000-0005-0000-0000-0000F7080000}"/>
    <cellStyle name="Comma 4 2 5 8 2 2" xfId="15437" xr:uid="{67338CF6-AF20-4A60-8B05-2153BE02C1D2}"/>
    <cellStyle name="Comma 4 2 5 8 3" xfId="11219" xr:uid="{D4041B2A-FE00-4EBC-A3CA-90817353EF03}"/>
    <cellStyle name="Comma 4 2 5 9" xfId="4615" xr:uid="{00000000-0005-0000-0000-0000F8080000}"/>
    <cellStyle name="Comma 4 2 5 9 2" xfId="13054" xr:uid="{2006CB88-CA79-4663-827A-FBC3A098E2B3}"/>
    <cellStyle name="Comma 4 2 6" xfId="143" xr:uid="{00000000-0005-0000-0000-0000F9080000}"/>
    <cellStyle name="Comma 4 2 6 10" xfId="8837" xr:uid="{CE1909D9-CF37-40A7-8DD7-EFFCE5ABC587}"/>
    <cellStyle name="Comma 4 2 6 2" xfId="681" xr:uid="{00000000-0005-0000-0000-0000FA080000}"/>
    <cellStyle name="Comma 4 2 6 2 2" xfId="2952" xr:uid="{00000000-0005-0000-0000-0000FB080000}"/>
    <cellStyle name="Comma 4 2 6 2 2 2" xfId="7175" xr:uid="{00000000-0005-0000-0000-0000FC080000}"/>
    <cellStyle name="Comma 4 2 6 2 2 2 2" xfId="15614" xr:uid="{EDBFAD09-F4EB-4A8C-8DF9-0F02F30C30AB}"/>
    <cellStyle name="Comma 4 2 6 2 2 3" xfId="11396" xr:uid="{B09245FD-D9F7-4277-B5BD-1667054340CC}"/>
    <cellStyle name="Comma 4 2 6 2 3" xfId="5030" xr:uid="{00000000-0005-0000-0000-0000FD080000}"/>
    <cellStyle name="Comma 4 2 6 2 3 2" xfId="13469" xr:uid="{08B9B5ED-155D-4094-88EA-07CF2C2F7CFB}"/>
    <cellStyle name="Comma 4 2 6 2 4" xfId="9251" xr:uid="{E255DCFC-E496-4CFF-A575-3AC94876DD34}"/>
    <cellStyle name="Comma 4 2 6 3" xfId="1134" xr:uid="{00000000-0005-0000-0000-0000FE080000}"/>
    <cellStyle name="Comma 4 2 6 3 2" xfId="3365" xr:uid="{00000000-0005-0000-0000-0000FF080000}"/>
    <cellStyle name="Comma 4 2 6 3 2 2" xfId="7588" xr:uid="{00000000-0005-0000-0000-000000090000}"/>
    <cellStyle name="Comma 4 2 6 3 2 2 2" xfId="16027" xr:uid="{249E2225-325A-4BF7-887F-2A7C99721973}"/>
    <cellStyle name="Comma 4 2 6 3 2 3" xfId="11809" xr:uid="{6CAC63C6-C797-47FE-8CA3-150BBCDA403B}"/>
    <cellStyle name="Comma 4 2 6 3 3" xfId="5443" xr:uid="{00000000-0005-0000-0000-000001090000}"/>
    <cellStyle name="Comma 4 2 6 3 3 2" xfId="13882" xr:uid="{32C7E30F-F98B-4968-9B6A-3F4B4B0C61CB}"/>
    <cellStyle name="Comma 4 2 6 3 4" xfId="9664" xr:uid="{B36721FE-8FDB-4A65-B603-ED665FDA350E}"/>
    <cellStyle name="Comma 4 2 6 4" xfId="1548" xr:uid="{00000000-0005-0000-0000-000002090000}"/>
    <cellStyle name="Comma 4 2 6 4 2" xfId="3778" xr:uid="{00000000-0005-0000-0000-000003090000}"/>
    <cellStyle name="Comma 4 2 6 4 2 2" xfId="8001" xr:uid="{00000000-0005-0000-0000-000004090000}"/>
    <cellStyle name="Comma 4 2 6 4 2 2 2" xfId="16440" xr:uid="{99F3EAE2-91C3-4279-89D3-F7BDF10C179E}"/>
    <cellStyle name="Comma 4 2 6 4 2 3" xfId="12222" xr:uid="{9628AAC8-2357-4398-A9C2-A8400FCE5180}"/>
    <cellStyle name="Comma 4 2 6 4 3" xfId="5856" xr:uid="{00000000-0005-0000-0000-000005090000}"/>
    <cellStyle name="Comma 4 2 6 4 3 2" xfId="14295" xr:uid="{6D604EA6-C7BD-4EF2-8684-D7F6393CBC7B}"/>
    <cellStyle name="Comma 4 2 6 4 4" xfId="10077" xr:uid="{47A7244A-C2B8-4A9F-BE0E-0CAD9A389369}"/>
    <cellStyle name="Comma 4 2 6 5" xfId="1962" xr:uid="{00000000-0005-0000-0000-000006090000}"/>
    <cellStyle name="Comma 4 2 6 5 2" xfId="4191" xr:uid="{00000000-0005-0000-0000-000007090000}"/>
    <cellStyle name="Comma 4 2 6 5 2 2" xfId="8414" xr:uid="{00000000-0005-0000-0000-000008090000}"/>
    <cellStyle name="Comma 4 2 6 5 2 2 2" xfId="16853" xr:uid="{5AE51179-306F-4C01-9175-C0B3863C67D7}"/>
    <cellStyle name="Comma 4 2 6 5 2 3" xfId="12635" xr:uid="{9277ADC8-3B64-4FFC-A171-DBA0E4C359E0}"/>
    <cellStyle name="Comma 4 2 6 5 3" xfId="6269" xr:uid="{00000000-0005-0000-0000-000009090000}"/>
    <cellStyle name="Comma 4 2 6 5 3 2" xfId="14708" xr:uid="{A36FAAEA-BF87-4BC5-B6C3-2417B3B8F247}"/>
    <cellStyle name="Comma 4 2 6 5 4" xfId="10490" xr:uid="{A37E9739-499B-4010-8E49-3B79A52DA6D8}"/>
    <cellStyle name="Comma 4 2 6 6" xfId="2397" xr:uid="{00000000-0005-0000-0000-00000A090000}"/>
    <cellStyle name="Comma 4 2 6 6 2" xfId="6682" xr:uid="{00000000-0005-0000-0000-00000B090000}"/>
    <cellStyle name="Comma 4 2 6 6 2 2" xfId="15121" xr:uid="{13570E0C-2490-4AE9-8102-66683FDA665A}"/>
    <cellStyle name="Comma 4 2 6 6 3" xfId="10903" xr:uid="{98035EEF-E314-4C3E-B0F0-DAAF28071384}"/>
    <cellStyle name="Comma 4 2 6 7" xfId="2366" xr:uid="{00000000-0005-0000-0000-00000C090000}"/>
    <cellStyle name="Comma 4 2 6 8" xfId="2775" xr:uid="{00000000-0005-0000-0000-00000D090000}"/>
    <cellStyle name="Comma 4 2 6 8 2" xfId="6999" xr:uid="{00000000-0005-0000-0000-00000E090000}"/>
    <cellStyle name="Comma 4 2 6 8 2 2" xfId="15438" xr:uid="{69311C7D-1912-432A-BAEF-E285E67995BA}"/>
    <cellStyle name="Comma 4 2 6 8 3" xfId="11220" xr:uid="{59E4B174-D971-442E-916A-C6C3CB867836}"/>
    <cellStyle name="Comma 4 2 6 9" xfId="4616" xr:uid="{00000000-0005-0000-0000-00000F090000}"/>
    <cellStyle name="Comma 4 2 6 9 2" xfId="13055" xr:uid="{3776DB50-0DCB-465E-9E50-3BF7F3ADC083}"/>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15439" xr:uid="{C9CBED1D-B2E4-41B7-B024-8DA5A59463DF}"/>
    <cellStyle name="Comma 4 3 2 10 3" xfId="11221" xr:uid="{DD9EC857-329B-41C9-B981-F31AB35E8A7A}"/>
    <cellStyle name="Comma 4 3 2 11" xfId="4617" xr:uid="{00000000-0005-0000-0000-000014090000}"/>
    <cellStyle name="Comma 4 3 2 11 2" xfId="13056" xr:uid="{EBEF9B60-19FE-4047-B006-AB38D1DD45D3}"/>
    <cellStyle name="Comma 4 3 2 12" xfId="8838" xr:uid="{5C899CD4-4747-4445-B461-15A3DCAE8EC3}"/>
    <cellStyle name="Comma 4 3 2 2" xfId="146" xr:uid="{00000000-0005-0000-0000-000015090000}"/>
    <cellStyle name="Comma 4 3 2 2 10" xfId="4618" xr:uid="{00000000-0005-0000-0000-000016090000}"/>
    <cellStyle name="Comma 4 3 2 2 10 2" xfId="13057" xr:uid="{55314EA0-C903-483C-A8AC-F1E2D90CE133}"/>
    <cellStyle name="Comma 4 3 2 2 11" xfId="8839" xr:uid="{8EA59590-1A62-449D-8FEE-D0EC06DFC769}"/>
    <cellStyle name="Comma 4 3 2 2 2" xfId="147" xr:uid="{00000000-0005-0000-0000-000017090000}"/>
    <cellStyle name="Comma 4 3 2 2 2 10" xfId="8840" xr:uid="{E3336F50-EB36-4BA0-872E-500DDCBC2D25}"/>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5617" xr:uid="{FC94B2D7-CF3E-4C0C-B577-499F493D4463}"/>
    <cellStyle name="Comma 4 3 2 2 2 2 2 3" xfId="11399" xr:uid="{72CF4A50-E0DE-4899-970A-6BBB7E10ABAD}"/>
    <cellStyle name="Comma 4 3 2 2 2 2 3" xfId="5033" xr:uid="{00000000-0005-0000-0000-00001B090000}"/>
    <cellStyle name="Comma 4 3 2 2 2 2 3 2" xfId="13472" xr:uid="{FD7397FD-70D1-4973-9CA0-FAC653565733}"/>
    <cellStyle name="Comma 4 3 2 2 2 2 4" xfId="9254" xr:uid="{E635945D-B5F4-4B71-91F0-3DE5A2F91099}"/>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16030" xr:uid="{734EF21F-E396-404D-9C8F-D66F5449D07A}"/>
    <cellStyle name="Comma 4 3 2 2 2 3 2 3" xfId="11812" xr:uid="{2CDDB71E-35B9-42E0-AD9D-3CB63010EC90}"/>
    <cellStyle name="Comma 4 3 2 2 2 3 3" xfId="5446" xr:uid="{00000000-0005-0000-0000-00001F090000}"/>
    <cellStyle name="Comma 4 3 2 2 2 3 3 2" xfId="13885" xr:uid="{64198D46-E764-4B48-A7D1-9FB57E589998}"/>
    <cellStyle name="Comma 4 3 2 2 2 3 4" xfId="9667" xr:uid="{E426A771-A5FB-4764-89EA-6FA5B6E6806C}"/>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16443" xr:uid="{3AC72A86-527F-42E4-9DAE-B98F6C95696B}"/>
    <cellStyle name="Comma 4 3 2 2 2 4 2 3" xfId="12225" xr:uid="{8EBAB75E-362C-4412-92A0-880485EF65E7}"/>
    <cellStyle name="Comma 4 3 2 2 2 4 3" xfId="5859" xr:uid="{00000000-0005-0000-0000-000023090000}"/>
    <cellStyle name="Comma 4 3 2 2 2 4 3 2" xfId="14298" xr:uid="{CCF1E507-713C-46B5-BDC3-58D8F878B44D}"/>
    <cellStyle name="Comma 4 3 2 2 2 4 4" xfId="10080" xr:uid="{9816D12C-7230-409B-A33F-9868A6FAD843}"/>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16856" xr:uid="{3A7C2FA7-2833-4480-860C-BA356AEE8882}"/>
    <cellStyle name="Comma 4 3 2 2 2 5 2 3" xfId="12638" xr:uid="{FF2EEA02-B106-4968-ABC5-94DBC569C338}"/>
    <cellStyle name="Comma 4 3 2 2 2 5 3" xfId="6272" xr:uid="{00000000-0005-0000-0000-000027090000}"/>
    <cellStyle name="Comma 4 3 2 2 2 5 3 2" xfId="14711" xr:uid="{31E4645B-309F-41B1-9C7D-DAAE8A260F01}"/>
    <cellStyle name="Comma 4 3 2 2 2 5 4" xfId="10493" xr:uid="{2DD6901A-4BB9-4E6F-9451-5449E7022424}"/>
    <cellStyle name="Comma 4 3 2 2 2 6" xfId="2400" xr:uid="{00000000-0005-0000-0000-000028090000}"/>
    <cellStyle name="Comma 4 3 2 2 2 6 2" xfId="6685" xr:uid="{00000000-0005-0000-0000-000029090000}"/>
    <cellStyle name="Comma 4 3 2 2 2 6 2 2" xfId="15124" xr:uid="{496E8B02-077A-49C6-BFA8-22EEA8B23AED}"/>
    <cellStyle name="Comma 4 3 2 2 2 6 3" xfId="10906" xr:uid="{AAA7CE1F-FBFC-4FDB-BC03-C5CE4AECFE04}"/>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15441" xr:uid="{5EAB6972-F5A7-4189-BB98-FF993AEBB58A}"/>
    <cellStyle name="Comma 4 3 2 2 2 8 3" xfId="11223" xr:uid="{3904FECF-DD00-4371-BA75-CA2C8B750415}"/>
    <cellStyle name="Comma 4 3 2 2 2 9" xfId="4619" xr:uid="{00000000-0005-0000-0000-00002D090000}"/>
    <cellStyle name="Comma 4 3 2 2 2 9 2" xfId="13058" xr:uid="{F098ABFC-E181-4CE5-8CE7-4FD7E4583494}"/>
    <cellStyle name="Comma 4 3 2 2 3" xfId="683" xr:uid="{00000000-0005-0000-0000-00002E090000}"/>
    <cellStyle name="Comma 4 3 2 2 3 2" xfId="2954" xr:uid="{00000000-0005-0000-0000-00002F090000}"/>
    <cellStyle name="Comma 4 3 2 2 3 2 2" xfId="7177" xr:uid="{00000000-0005-0000-0000-000030090000}"/>
    <cellStyle name="Comma 4 3 2 2 3 2 2 2" xfId="15616" xr:uid="{666D49EC-51EE-42D1-B2BF-29D884937D06}"/>
    <cellStyle name="Comma 4 3 2 2 3 2 3" xfId="11398" xr:uid="{C62EA001-AE83-4ABE-96C6-639992D41F76}"/>
    <cellStyle name="Comma 4 3 2 2 3 3" xfId="5032" xr:uid="{00000000-0005-0000-0000-000031090000}"/>
    <cellStyle name="Comma 4 3 2 2 3 3 2" xfId="13471" xr:uid="{F6059102-5554-444D-BB26-69D4EBB4F26B}"/>
    <cellStyle name="Comma 4 3 2 2 3 4" xfId="9253" xr:uid="{8BCFCE2C-42F3-481C-85FC-7C69497C7F41}"/>
    <cellStyle name="Comma 4 3 2 2 4" xfId="1136" xr:uid="{00000000-0005-0000-0000-000032090000}"/>
    <cellStyle name="Comma 4 3 2 2 4 2" xfId="3367" xr:uid="{00000000-0005-0000-0000-000033090000}"/>
    <cellStyle name="Comma 4 3 2 2 4 2 2" xfId="7590" xr:uid="{00000000-0005-0000-0000-000034090000}"/>
    <cellStyle name="Comma 4 3 2 2 4 2 2 2" xfId="16029" xr:uid="{BC233595-AC66-4752-AFB6-079B19338BA7}"/>
    <cellStyle name="Comma 4 3 2 2 4 2 3" xfId="11811" xr:uid="{D6B80FFC-C109-4B61-B9DE-3011B155F7FE}"/>
    <cellStyle name="Comma 4 3 2 2 4 3" xfId="5445" xr:uid="{00000000-0005-0000-0000-000035090000}"/>
    <cellStyle name="Comma 4 3 2 2 4 3 2" xfId="13884" xr:uid="{B176D701-16A1-4513-9D98-5F2213DFEE6F}"/>
    <cellStyle name="Comma 4 3 2 2 4 4" xfId="9666" xr:uid="{70BC2073-9851-4D43-970C-0D79364A8B80}"/>
    <cellStyle name="Comma 4 3 2 2 5" xfId="1550" xr:uid="{00000000-0005-0000-0000-000036090000}"/>
    <cellStyle name="Comma 4 3 2 2 5 2" xfId="3780" xr:uid="{00000000-0005-0000-0000-000037090000}"/>
    <cellStyle name="Comma 4 3 2 2 5 2 2" xfId="8003" xr:uid="{00000000-0005-0000-0000-000038090000}"/>
    <cellStyle name="Comma 4 3 2 2 5 2 2 2" xfId="16442" xr:uid="{31535826-D628-44ED-A413-064D788577DD}"/>
    <cellStyle name="Comma 4 3 2 2 5 2 3" xfId="12224" xr:uid="{2DD95018-251E-486A-8A63-9E68FDC77863}"/>
    <cellStyle name="Comma 4 3 2 2 5 3" xfId="5858" xr:uid="{00000000-0005-0000-0000-000039090000}"/>
    <cellStyle name="Comma 4 3 2 2 5 3 2" xfId="14297" xr:uid="{7A1265A0-6E7A-46B0-96B5-54ED61EEAF67}"/>
    <cellStyle name="Comma 4 3 2 2 5 4" xfId="10079" xr:uid="{2402D145-79F6-414A-86D0-AD64D4AFA5EA}"/>
    <cellStyle name="Comma 4 3 2 2 6" xfId="1964" xr:uid="{00000000-0005-0000-0000-00003A090000}"/>
    <cellStyle name="Comma 4 3 2 2 6 2" xfId="4193" xr:uid="{00000000-0005-0000-0000-00003B090000}"/>
    <cellStyle name="Comma 4 3 2 2 6 2 2" xfId="8416" xr:uid="{00000000-0005-0000-0000-00003C090000}"/>
    <cellStyle name="Comma 4 3 2 2 6 2 2 2" xfId="16855" xr:uid="{CCD9014E-7F17-4D6F-B39A-65FFC09D91AC}"/>
    <cellStyle name="Comma 4 3 2 2 6 2 3" xfId="12637" xr:uid="{FE1D5BDE-B58D-49EE-AA0C-CDF4D51A560C}"/>
    <cellStyle name="Comma 4 3 2 2 6 3" xfId="6271" xr:uid="{00000000-0005-0000-0000-00003D090000}"/>
    <cellStyle name="Comma 4 3 2 2 6 3 2" xfId="14710" xr:uid="{C27D7083-DDAF-48A2-887A-7BAF1E6BAC3C}"/>
    <cellStyle name="Comma 4 3 2 2 6 4" xfId="10492" xr:uid="{B9175935-3871-4D91-A16A-796B76CDBAC7}"/>
    <cellStyle name="Comma 4 3 2 2 7" xfId="2399" xr:uid="{00000000-0005-0000-0000-00003E090000}"/>
    <cellStyle name="Comma 4 3 2 2 7 2" xfId="6684" xr:uid="{00000000-0005-0000-0000-00003F090000}"/>
    <cellStyle name="Comma 4 3 2 2 7 2 2" xfId="15123" xr:uid="{B2B7731E-7B93-48BF-8B30-4BBDA105C4F0}"/>
    <cellStyle name="Comma 4 3 2 2 7 3" xfId="10905" xr:uid="{D20017FA-6449-4FE4-867B-E03FF45E750C}"/>
    <cellStyle name="Comma 4 3 2 2 8" xfId="2364" xr:uid="{00000000-0005-0000-0000-000040090000}"/>
    <cellStyle name="Comma 4 3 2 2 9" xfId="2777" xr:uid="{00000000-0005-0000-0000-000041090000}"/>
    <cellStyle name="Comma 4 3 2 2 9 2" xfId="7001" xr:uid="{00000000-0005-0000-0000-000042090000}"/>
    <cellStyle name="Comma 4 3 2 2 9 2 2" xfId="15440" xr:uid="{255120A4-477D-4D52-BAAB-D1F35179A83E}"/>
    <cellStyle name="Comma 4 3 2 2 9 3" xfId="11222" xr:uid="{C6577117-76C7-4B43-B996-238DBFEF97A1}"/>
    <cellStyle name="Comma 4 3 2 3" xfId="148" xr:uid="{00000000-0005-0000-0000-000043090000}"/>
    <cellStyle name="Comma 4 3 2 3 10" xfId="8841" xr:uid="{FECDEC09-4917-41DF-B084-FC9B2E944479}"/>
    <cellStyle name="Comma 4 3 2 3 2" xfId="685" xr:uid="{00000000-0005-0000-0000-000044090000}"/>
    <cellStyle name="Comma 4 3 2 3 2 2" xfId="2956" xr:uid="{00000000-0005-0000-0000-000045090000}"/>
    <cellStyle name="Comma 4 3 2 3 2 2 2" xfId="7179" xr:uid="{00000000-0005-0000-0000-000046090000}"/>
    <cellStyle name="Comma 4 3 2 3 2 2 2 2" xfId="15618" xr:uid="{45CB9C9B-C4C2-4574-A344-5E748DBFD8E1}"/>
    <cellStyle name="Comma 4 3 2 3 2 2 3" xfId="11400" xr:uid="{49F35273-EB9A-4D8E-8B9D-0A7083EB62FB}"/>
    <cellStyle name="Comma 4 3 2 3 2 3" xfId="5034" xr:uid="{00000000-0005-0000-0000-000047090000}"/>
    <cellStyle name="Comma 4 3 2 3 2 3 2" xfId="13473" xr:uid="{024356CA-C9D3-4190-89F9-D43DD02AFDAB}"/>
    <cellStyle name="Comma 4 3 2 3 2 4" xfId="9255" xr:uid="{7A7EE62E-1660-4BA8-A501-24E09E0DB103}"/>
    <cellStyle name="Comma 4 3 2 3 3" xfId="1138" xr:uid="{00000000-0005-0000-0000-000048090000}"/>
    <cellStyle name="Comma 4 3 2 3 3 2" xfId="3369" xr:uid="{00000000-0005-0000-0000-000049090000}"/>
    <cellStyle name="Comma 4 3 2 3 3 2 2" xfId="7592" xr:uid="{00000000-0005-0000-0000-00004A090000}"/>
    <cellStyle name="Comma 4 3 2 3 3 2 2 2" xfId="16031" xr:uid="{9F91869E-3A01-4745-86B9-26F6C61A27A2}"/>
    <cellStyle name="Comma 4 3 2 3 3 2 3" xfId="11813" xr:uid="{2ECDE6E1-5780-4C83-B1A7-F67DDC49378A}"/>
    <cellStyle name="Comma 4 3 2 3 3 3" xfId="5447" xr:uid="{00000000-0005-0000-0000-00004B090000}"/>
    <cellStyle name="Comma 4 3 2 3 3 3 2" xfId="13886" xr:uid="{2C1DA214-A382-4144-A32A-76F49EE62541}"/>
    <cellStyle name="Comma 4 3 2 3 3 4" xfId="9668" xr:uid="{4CEE3F66-EBCF-4597-8439-55F0D3CCB9AB}"/>
    <cellStyle name="Comma 4 3 2 3 4" xfId="1552" xr:uid="{00000000-0005-0000-0000-00004C090000}"/>
    <cellStyle name="Comma 4 3 2 3 4 2" xfId="3782" xr:uid="{00000000-0005-0000-0000-00004D090000}"/>
    <cellStyle name="Comma 4 3 2 3 4 2 2" xfId="8005" xr:uid="{00000000-0005-0000-0000-00004E090000}"/>
    <cellStyle name="Comma 4 3 2 3 4 2 2 2" xfId="16444" xr:uid="{1F479CB6-534B-44D4-9CE2-E29F22714285}"/>
    <cellStyle name="Comma 4 3 2 3 4 2 3" xfId="12226" xr:uid="{CEDB7C03-6BCA-4CC3-A73C-2A3F5245C537}"/>
    <cellStyle name="Comma 4 3 2 3 4 3" xfId="5860" xr:uid="{00000000-0005-0000-0000-00004F090000}"/>
    <cellStyle name="Comma 4 3 2 3 4 3 2" xfId="14299" xr:uid="{8BB46D3E-DB7F-4D78-A03D-F9D1847ADFCD}"/>
    <cellStyle name="Comma 4 3 2 3 4 4" xfId="10081" xr:uid="{FEEAE92B-3322-43DF-88B7-D38FA91F8331}"/>
    <cellStyle name="Comma 4 3 2 3 5" xfId="1966" xr:uid="{00000000-0005-0000-0000-000050090000}"/>
    <cellStyle name="Comma 4 3 2 3 5 2" xfId="4195" xr:uid="{00000000-0005-0000-0000-000051090000}"/>
    <cellStyle name="Comma 4 3 2 3 5 2 2" xfId="8418" xr:uid="{00000000-0005-0000-0000-000052090000}"/>
    <cellStyle name="Comma 4 3 2 3 5 2 2 2" xfId="16857" xr:uid="{D7950D58-5B25-4CC6-BBA2-998EF5289C91}"/>
    <cellStyle name="Comma 4 3 2 3 5 2 3" xfId="12639" xr:uid="{EA56F6AD-6C8A-45A3-8C3C-0738D41996CC}"/>
    <cellStyle name="Comma 4 3 2 3 5 3" xfId="6273" xr:uid="{00000000-0005-0000-0000-000053090000}"/>
    <cellStyle name="Comma 4 3 2 3 5 3 2" xfId="14712" xr:uid="{1D8A1403-BB24-4668-9D2C-AFBAC94F0196}"/>
    <cellStyle name="Comma 4 3 2 3 5 4" xfId="10494" xr:uid="{D4BB78B1-C422-4CA8-9285-97B86CE20242}"/>
    <cellStyle name="Comma 4 3 2 3 6" xfId="2401" xr:uid="{00000000-0005-0000-0000-000054090000}"/>
    <cellStyle name="Comma 4 3 2 3 6 2" xfId="6686" xr:uid="{00000000-0005-0000-0000-000055090000}"/>
    <cellStyle name="Comma 4 3 2 3 6 2 2" xfId="15125" xr:uid="{8DD08321-2ADB-49AF-9162-9024DC4B66B1}"/>
    <cellStyle name="Comma 4 3 2 3 6 3" xfId="10907" xr:uid="{FFAC2174-B9EF-4618-B3BA-FF7810E17241}"/>
    <cellStyle name="Comma 4 3 2 3 7" xfId="2362" xr:uid="{00000000-0005-0000-0000-000056090000}"/>
    <cellStyle name="Comma 4 3 2 3 8" xfId="2779" xr:uid="{00000000-0005-0000-0000-000057090000}"/>
    <cellStyle name="Comma 4 3 2 3 8 2" xfId="7003" xr:uid="{00000000-0005-0000-0000-000058090000}"/>
    <cellStyle name="Comma 4 3 2 3 8 2 2" xfId="15442" xr:uid="{283C29EE-B1AB-4640-98DC-0880235F0E48}"/>
    <cellStyle name="Comma 4 3 2 3 8 3" xfId="11224" xr:uid="{235C775E-2E83-4152-8EB3-7967239C7151}"/>
    <cellStyle name="Comma 4 3 2 3 9" xfId="4620" xr:uid="{00000000-0005-0000-0000-000059090000}"/>
    <cellStyle name="Comma 4 3 2 3 9 2" xfId="13059" xr:uid="{16F88C0F-48F9-40A9-9CC4-3A4DB07D53A9}"/>
    <cellStyle name="Comma 4 3 2 4" xfId="682" xr:uid="{00000000-0005-0000-0000-00005A090000}"/>
    <cellStyle name="Comma 4 3 2 4 2" xfId="2953" xr:uid="{00000000-0005-0000-0000-00005B090000}"/>
    <cellStyle name="Comma 4 3 2 4 2 2" xfId="7176" xr:uid="{00000000-0005-0000-0000-00005C090000}"/>
    <cellStyle name="Comma 4 3 2 4 2 2 2" xfId="15615" xr:uid="{654C5B4B-D845-4DE8-AF83-22DA33D044C2}"/>
    <cellStyle name="Comma 4 3 2 4 2 3" xfId="11397" xr:uid="{D1B8AEC9-6DB1-48A1-AF3F-95E5B1007AA5}"/>
    <cellStyle name="Comma 4 3 2 4 3" xfId="5031" xr:uid="{00000000-0005-0000-0000-00005D090000}"/>
    <cellStyle name="Comma 4 3 2 4 3 2" xfId="13470" xr:uid="{CEA19CFB-937F-4514-B02D-CAB350BDCA10}"/>
    <cellStyle name="Comma 4 3 2 4 4" xfId="9252" xr:uid="{0B0FE0C2-7FAC-4123-9299-21183100D94F}"/>
    <cellStyle name="Comma 4 3 2 5" xfId="1135" xr:uid="{00000000-0005-0000-0000-00005E090000}"/>
    <cellStyle name="Comma 4 3 2 5 2" xfId="3366" xr:uid="{00000000-0005-0000-0000-00005F090000}"/>
    <cellStyle name="Comma 4 3 2 5 2 2" xfId="7589" xr:uid="{00000000-0005-0000-0000-000060090000}"/>
    <cellStyle name="Comma 4 3 2 5 2 2 2" xfId="16028" xr:uid="{A706650F-D271-4BE4-BAA4-714A606B5458}"/>
    <cellStyle name="Comma 4 3 2 5 2 3" xfId="11810" xr:uid="{0B92751E-00FF-4F24-B947-509D077911CF}"/>
    <cellStyle name="Comma 4 3 2 5 3" xfId="5444" xr:uid="{00000000-0005-0000-0000-000061090000}"/>
    <cellStyle name="Comma 4 3 2 5 3 2" xfId="13883" xr:uid="{427B3714-A1E3-44F4-A327-D8E54B676690}"/>
    <cellStyle name="Comma 4 3 2 5 4" xfId="9665" xr:uid="{9318A00B-5546-4D7A-90E8-A02A216E1E2B}"/>
    <cellStyle name="Comma 4 3 2 6" xfId="1549" xr:uid="{00000000-0005-0000-0000-000062090000}"/>
    <cellStyle name="Comma 4 3 2 6 2" xfId="3779" xr:uid="{00000000-0005-0000-0000-000063090000}"/>
    <cellStyle name="Comma 4 3 2 6 2 2" xfId="8002" xr:uid="{00000000-0005-0000-0000-000064090000}"/>
    <cellStyle name="Comma 4 3 2 6 2 2 2" xfId="16441" xr:uid="{59F5BB94-EA52-44D4-846C-91EBF07CBBCF}"/>
    <cellStyle name="Comma 4 3 2 6 2 3" xfId="12223" xr:uid="{221A2CCC-376E-4D24-AF84-2C28D5ABC8AC}"/>
    <cellStyle name="Comma 4 3 2 6 3" xfId="5857" xr:uid="{00000000-0005-0000-0000-000065090000}"/>
    <cellStyle name="Comma 4 3 2 6 3 2" xfId="14296" xr:uid="{8B108E26-DDA8-4F6E-863C-F65EF6BE7BAE}"/>
    <cellStyle name="Comma 4 3 2 6 4" xfId="10078" xr:uid="{213A55D2-BAD0-4631-A609-E4876C928571}"/>
    <cellStyle name="Comma 4 3 2 7" xfId="1963" xr:uid="{00000000-0005-0000-0000-000066090000}"/>
    <cellStyle name="Comma 4 3 2 7 2" xfId="4192" xr:uid="{00000000-0005-0000-0000-000067090000}"/>
    <cellStyle name="Comma 4 3 2 7 2 2" xfId="8415" xr:uid="{00000000-0005-0000-0000-000068090000}"/>
    <cellStyle name="Comma 4 3 2 7 2 2 2" xfId="16854" xr:uid="{3F2995CB-8C3E-448E-A89A-03D6F5C91A8D}"/>
    <cellStyle name="Comma 4 3 2 7 2 3" xfId="12636" xr:uid="{AF4D34F0-E2B1-4F51-97F3-E034B6CBAE86}"/>
    <cellStyle name="Comma 4 3 2 7 3" xfId="6270" xr:uid="{00000000-0005-0000-0000-000069090000}"/>
    <cellStyle name="Comma 4 3 2 7 3 2" xfId="14709" xr:uid="{487BE2EB-EBE4-4810-B6D1-6CA7679EE452}"/>
    <cellStyle name="Comma 4 3 2 7 4" xfId="10491" xr:uid="{727806C1-F751-438A-AFC1-A2BF1D9E3D4F}"/>
    <cellStyle name="Comma 4 3 2 8" xfId="2398" xr:uid="{00000000-0005-0000-0000-00006A090000}"/>
    <cellStyle name="Comma 4 3 2 8 2" xfId="6683" xr:uid="{00000000-0005-0000-0000-00006B090000}"/>
    <cellStyle name="Comma 4 3 2 8 2 2" xfId="15122" xr:uid="{2B42034E-83B1-4348-A631-FB90EC18E6DE}"/>
    <cellStyle name="Comma 4 3 2 8 3" xfId="10904" xr:uid="{89FF81F7-13CA-42DC-9F42-C814EFB5F0F4}"/>
    <cellStyle name="Comma 4 3 2 9" xfId="2365" xr:uid="{00000000-0005-0000-0000-00006C090000}"/>
    <cellStyle name="Comma 4 3 3" xfId="149" xr:uid="{00000000-0005-0000-0000-00006D090000}"/>
    <cellStyle name="Comma 4 3 3 10" xfId="4621" xr:uid="{00000000-0005-0000-0000-00006E090000}"/>
    <cellStyle name="Comma 4 3 3 10 2" xfId="13060" xr:uid="{164F8594-2994-46C2-BB34-BA7A9A7CEAC3}"/>
    <cellStyle name="Comma 4 3 3 11" xfId="8842" xr:uid="{B965A1B6-E95F-41CA-BA60-EDE9997E1D3F}"/>
    <cellStyle name="Comma 4 3 3 2" xfId="150" xr:uid="{00000000-0005-0000-0000-00006F090000}"/>
    <cellStyle name="Comma 4 3 3 2 10" xfId="8843" xr:uid="{ADF90E23-EE39-45A5-B729-1245D02954A8}"/>
    <cellStyle name="Comma 4 3 3 2 2" xfId="687" xr:uid="{00000000-0005-0000-0000-000070090000}"/>
    <cellStyle name="Comma 4 3 3 2 2 2" xfId="2958" xr:uid="{00000000-0005-0000-0000-000071090000}"/>
    <cellStyle name="Comma 4 3 3 2 2 2 2" xfId="7181" xr:uid="{00000000-0005-0000-0000-000072090000}"/>
    <cellStyle name="Comma 4 3 3 2 2 2 2 2" xfId="15620" xr:uid="{C2848162-2657-47C7-9FA3-FC872A840AD8}"/>
    <cellStyle name="Comma 4 3 3 2 2 2 3" xfId="11402" xr:uid="{A1542355-DF20-435B-991B-4D1282C2D9FE}"/>
    <cellStyle name="Comma 4 3 3 2 2 3" xfId="5036" xr:uid="{00000000-0005-0000-0000-000073090000}"/>
    <cellStyle name="Comma 4 3 3 2 2 3 2" xfId="13475" xr:uid="{84CED558-6765-4D51-9F16-3C20A2E8FAC2}"/>
    <cellStyle name="Comma 4 3 3 2 2 4" xfId="9257" xr:uid="{13A064B2-ED7A-41F5-908D-84640FCE635B}"/>
    <cellStyle name="Comma 4 3 3 2 3" xfId="1140" xr:uid="{00000000-0005-0000-0000-000074090000}"/>
    <cellStyle name="Comma 4 3 3 2 3 2" xfId="3371" xr:uid="{00000000-0005-0000-0000-000075090000}"/>
    <cellStyle name="Comma 4 3 3 2 3 2 2" xfId="7594" xr:uid="{00000000-0005-0000-0000-000076090000}"/>
    <cellStyle name="Comma 4 3 3 2 3 2 2 2" xfId="16033" xr:uid="{81036DE4-E8B6-4E27-AC41-B2D690611D40}"/>
    <cellStyle name="Comma 4 3 3 2 3 2 3" xfId="11815" xr:uid="{5F22F434-6D20-4DDC-A7EF-AD819E861517}"/>
    <cellStyle name="Comma 4 3 3 2 3 3" xfId="5449" xr:uid="{00000000-0005-0000-0000-000077090000}"/>
    <cellStyle name="Comma 4 3 3 2 3 3 2" xfId="13888" xr:uid="{C55B9DC6-412A-4969-AC8E-E31D39704C9B}"/>
    <cellStyle name="Comma 4 3 3 2 3 4" xfId="9670" xr:uid="{32416B25-6E52-4721-A616-AB3C50E4A2A0}"/>
    <cellStyle name="Comma 4 3 3 2 4" xfId="1554" xr:uid="{00000000-0005-0000-0000-000078090000}"/>
    <cellStyle name="Comma 4 3 3 2 4 2" xfId="3784" xr:uid="{00000000-0005-0000-0000-000079090000}"/>
    <cellStyle name="Comma 4 3 3 2 4 2 2" xfId="8007" xr:uid="{00000000-0005-0000-0000-00007A090000}"/>
    <cellStyle name="Comma 4 3 3 2 4 2 2 2" xfId="16446" xr:uid="{FAB04C79-D1F5-4B6C-B7CE-7161AD1B06FD}"/>
    <cellStyle name="Comma 4 3 3 2 4 2 3" xfId="12228" xr:uid="{9A004BC8-A7C0-4742-B176-677284ECEA8A}"/>
    <cellStyle name="Comma 4 3 3 2 4 3" xfId="5862" xr:uid="{00000000-0005-0000-0000-00007B090000}"/>
    <cellStyle name="Comma 4 3 3 2 4 3 2" xfId="14301" xr:uid="{FA26C23C-6782-40C8-80D1-08E617722CFB}"/>
    <cellStyle name="Comma 4 3 3 2 4 4" xfId="10083" xr:uid="{24DA0DE5-109F-456B-8D77-626E7F9F5F0C}"/>
    <cellStyle name="Comma 4 3 3 2 5" xfId="1968" xr:uid="{00000000-0005-0000-0000-00007C090000}"/>
    <cellStyle name="Comma 4 3 3 2 5 2" xfId="4197" xr:uid="{00000000-0005-0000-0000-00007D090000}"/>
    <cellStyle name="Comma 4 3 3 2 5 2 2" xfId="8420" xr:uid="{00000000-0005-0000-0000-00007E090000}"/>
    <cellStyle name="Comma 4 3 3 2 5 2 2 2" xfId="16859" xr:uid="{F5AA2F28-9B00-4191-95F0-EB563CC312FA}"/>
    <cellStyle name="Comma 4 3 3 2 5 2 3" xfId="12641" xr:uid="{F1E66FFB-CC94-4938-8D2B-CA605F8E07A5}"/>
    <cellStyle name="Comma 4 3 3 2 5 3" xfId="6275" xr:uid="{00000000-0005-0000-0000-00007F090000}"/>
    <cellStyle name="Comma 4 3 3 2 5 3 2" xfId="14714" xr:uid="{0B2DA358-34F0-41D9-AAFD-D89A0DD738D1}"/>
    <cellStyle name="Comma 4 3 3 2 5 4" xfId="10496" xr:uid="{13367C5C-9D59-4126-9562-EB1F1E6A5B10}"/>
    <cellStyle name="Comma 4 3 3 2 6" xfId="2403" xr:uid="{00000000-0005-0000-0000-000080090000}"/>
    <cellStyle name="Comma 4 3 3 2 6 2" xfId="6688" xr:uid="{00000000-0005-0000-0000-000081090000}"/>
    <cellStyle name="Comma 4 3 3 2 6 2 2" xfId="15127" xr:uid="{76E82C92-D5C8-4541-B805-E7A1AC38D09E}"/>
    <cellStyle name="Comma 4 3 3 2 6 3" xfId="10909" xr:uid="{CE08A848-9DC0-4D0E-A04D-4DF957A9DC62}"/>
    <cellStyle name="Comma 4 3 3 2 7" xfId="2360" xr:uid="{00000000-0005-0000-0000-000082090000}"/>
    <cellStyle name="Comma 4 3 3 2 8" xfId="2781" xr:uid="{00000000-0005-0000-0000-000083090000}"/>
    <cellStyle name="Comma 4 3 3 2 8 2" xfId="7005" xr:uid="{00000000-0005-0000-0000-000084090000}"/>
    <cellStyle name="Comma 4 3 3 2 8 2 2" xfId="15444" xr:uid="{A122B336-AFAF-4A9E-8383-D5133CBE672F}"/>
    <cellStyle name="Comma 4 3 3 2 8 3" xfId="11226" xr:uid="{0129EAE5-005C-45FE-842A-532E4CA0CEFA}"/>
    <cellStyle name="Comma 4 3 3 2 9" xfId="4622" xr:uid="{00000000-0005-0000-0000-000085090000}"/>
    <cellStyle name="Comma 4 3 3 2 9 2" xfId="13061" xr:uid="{4B5B3FE6-ADDB-4571-8897-28E8B12488A9}"/>
    <cellStyle name="Comma 4 3 3 3" xfId="686" xr:uid="{00000000-0005-0000-0000-000086090000}"/>
    <cellStyle name="Comma 4 3 3 3 2" xfId="2957" xr:uid="{00000000-0005-0000-0000-000087090000}"/>
    <cellStyle name="Comma 4 3 3 3 2 2" xfId="7180" xr:uid="{00000000-0005-0000-0000-000088090000}"/>
    <cellStyle name="Comma 4 3 3 3 2 2 2" xfId="15619" xr:uid="{7723AB54-68ED-485C-B986-1503C2C43C73}"/>
    <cellStyle name="Comma 4 3 3 3 2 3" xfId="11401" xr:uid="{8D7560FA-856D-4826-89CB-94F07FE8804F}"/>
    <cellStyle name="Comma 4 3 3 3 3" xfId="5035" xr:uid="{00000000-0005-0000-0000-000089090000}"/>
    <cellStyle name="Comma 4 3 3 3 3 2" xfId="13474" xr:uid="{3F0EB801-1D91-464A-806E-49865B037A33}"/>
    <cellStyle name="Comma 4 3 3 3 4" xfId="9256" xr:uid="{346AA3D9-C66E-4E8B-BE7F-D3936AA1A77D}"/>
    <cellStyle name="Comma 4 3 3 4" xfId="1139" xr:uid="{00000000-0005-0000-0000-00008A090000}"/>
    <cellStyle name="Comma 4 3 3 4 2" xfId="3370" xr:uid="{00000000-0005-0000-0000-00008B090000}"/>
    <cellStyle name="Comma 4 3 3 4 2 2" xfId="7593" xr:uid="{00000000-0005-0000-0000-00008C090000}"/>
    <cellStyle name="Comma 4 3 3 4 2 2 2" xfId="16032" xr:uid="{8757E2F4-1687-45B0-BEB2-53DCDBC24DFF}"/>
    <cellStyle name="Comma 4 3 3 4 2 3" xfId="11814" xr:uid="{47A57E00-ED0E-417C-9675-EE0B4529916C}"/>
    <cellStyle name="Comma 4 3 3 4 3" xfId="5448" xr:uid="{00000000-0005-0000-0000-00008D090000}"/>
    <cellStyle name="Comma 4 3 3 4 3 2" xfId="13887" xr:uid="{D6E50B0E-5C5D-41FF-825D-04478B7B21F4}"/>
    <cellStyle name="Comma 4 3 3 4 4" xfId="9669" xr:uid="{F48C1BFB-0407-49FD-96AC-7357E1333DA2}"/>
    <cellStyle name="Comma 4 3 3 5" xfId="1553" xr:uid="{00000000-0005-0000-0000-00008E090000}"/>
    <cellStyle name="Comma 4 3 3 5 2" xfId="3783" xr:uid="{00000000-0005-0000-0000-00008F090000}"/>
    <cellStyle name="Comma 4 3 3 5 2 2" xfId="8006" xr:uid="{00000000-0005-0000-0000-000090090000}"/>
    <cellStyle name="Comma 4 3 3 5 2 2 2" xfId="16445" xr:uid="{C7A8957E-67BB-4E1A-AC9C-E1C83E95EEC5}"/>
    <cellStyle name="Comma 4 3 3 5 2 3" xfId="12227" xr:uid="{BA574F99-3996-4E20-A232-D2A9E9D2AA6E}"/>
    <cellStyle name="Comma 4 3 3 5 3" xfId="5861" xr:uid="{00000000-0005-0000-0000-000091090000}"/>
    <cellStyle name="Comma 4 3 3 5 3 2" xfId="14300" xr:uid="{7160F645-0818-4535-801F-5FBE6B1A04F4}"/>
    <cellStyle name="Comma 4 3 3 5 4" xfId="10082" xr:uid="{18468372-C9DB-433A-B73A-982A4F28AFFF}"/>
    <cellStyle name="Comma 4 3 3 6" xfId="1967" xr:uid="{00000000-0005-0000-0000-000092090000}"/>
    <cellStyle name="Comma 4 3 3 6 2" xfId="4196" xr:uid="{00000000-0005-0000-0000-000093090000}"/>
    <cellStyle name="Comma 4 3 3 6 2 2" xfId="8419" xr:uid="{00000000-0005-0000-0000-000094090000}"/>
    <cellStyle name="Comma 4 3 3 6 2 2 2" xfId="16858" xr:uid="{C8552B3D-36FD-46D1-A64D-E1131578DDB4}"/>
    <cellStyle name="Comma 4 3 3 6 2 3" xfId="12640" xr:uid="{710F6677-7306-45A6-A29F-B8062CBD72E9}"/>
    <cellStyle name="Comma 4 3 3 6 3" xfId="6274" xr:uid="{00000000-0005-0000-0000-000095090000}"/>
    <cellStyle name="Comma 4 3 3 6 3 2" xfId="14713" xr:uid="{BCDEB587-6A4A-469E-B7C9-0ACF16EEE442}"/>
    <cellStyle name="Comma 4 3 3 6 4" xfId="10495" xr:uid="{1F497B36-25EF-4638-8902-3B8CEFD9BCFD}"/>
    <cellStyle name="Comma 4 3 3 7" xfId="2402" xr:uid="{00000000-0005-0000-0000-000096090000}"/>
    <cellStyle name="Comma 4 3 3 7 2" xfId="6687" xr:uid="{00000000-0005-0000-0000-000097090000}"/>
    <cellStyle name="Comma 4 3 3 7 2 2" xfId="15126" xr:uid="{DA6A9CE0-1EFD-4D9D-854E-B177A05774B5}"/>
    <cellStyle name="Comma 4 3 3 7 3" xfId="10908" xr:uid="{9DEC5690-3A5A-45F7-8402-F6799DF3529C}"/>
    <cellStyle name="Comma 4 3 3 8" xfId="2361" xr:uid="{00000000-0005-0000-0000-000098090000}"/>
    <cellStyle name="Comma 4 3 3 9" xfId="2780" xr:uid="{00000000-0005-0000-0000-000099090000}"/>
    <cellStyle name="Comma 4 3 3 9 2" xfId="7004" xr:uid="{00000000-0005-0000-0000-00009A090000}"/>
    <cellStyle name="Comma 4 3 3 9 2 2" xfId="15443" xr:uid="{2B0108D4-EB28-46F1-96CB-1C5C2012CB73}"/>
    <cellStyle name="Comma 4 3 3 9 3" xfId="11225" xr:uid="{EE6DB1B0-83CA-4CCA-ADD7-5DEB57F589ED}"/>
    <cellStyle name="Comma 4 3 4" xfId="151" xr:uid="{00000000-0005-0000-0000-00009B090000}"/>
    <cellStyle name="Comma 4 3 4 10" xfId="8844" xr:uid="{90EED0DF-13E8-49D3-B19A-CFB233061716}"/>
    <cellStyle name="Comma 4 3 4 2" xfId="688" xr:uid="{00000000-0005-0000-0000-00009C090000}"/>
    <cellStyle name="Comma 4 3 4 2 2" xfId="2959" xr:uid="{00000000-0005-0000-0000-00009D090000}"/>
    <cellStyle name="Comma 4 3 4 2 2 2" xfId="7182" xr:uid="{00000000-0005-0000-0000-00009E090000}"/>
    <cellStyle name="Comma 4 3 4 2 2 2 2" xfId="15621" xr:uid="{F8360D4F-759A-4E36-B446-0F2C3CB88B10}"/>
    <cellStyle name="Comma 4 3 4 2 2 3" xfId="11403" xr:uid="{4006E0FF-5A97-4347-8EF1-18D399C01078}"/>
    <cellStyle name="Comma 4 3 4 2 3" xfId="5037" xr:uid="{00000000-0005-0000-0000-00009F090000}"/>
    <cellStyle name="Comma 4 3 4 2 3 2" xfId="13476" xr:uid="{ED882057-2BA1-4AA8-B89C-9B57B26A538D}"/>
    <cellStyle name="Comma 4 3 4 2 4" xfId="9258" xr:uid="{539225DB-8AC1-4168-9D2F-45D045A5441C}"/>
    <cellStyle name="Comma 4 3 4 3" xfId="1141" xr:uid="{00000000-0005-0000-0000-0000A0090000}"/>
    <cellStyle name="Comma 4 3 4 3 2" xfId="3372" xr:uid="{00000000-0005-0000-0000-0000A1090000}"/>
    <cellStyle name="Comma 4 3 4 3 2 2" xfId="7595" xr:uid="{00000000-0005-0000-0000-0000A2090000}"/>
    <cellStyle name="Comma 4 3 4 3 2 2 2" xfId="16034" xr:uid="{A284C191-641E-408D-86A2-D2A2DA7071AB}"/>
    <cellStyle name="Comma 4 3 4 3 2 3" xfId="11816" xr:uid="{4E9FDF12-56FB-49F1-88C2-3CBD2CB22B5E}"/>
    <cellStyle name="Comma 4 3 4 3 3" xfId="5450" xr:uid="{00000000-0005-0000-0000-0000A3090000}"/>
    <cellStyle name="Comma 4 3 4 3 3 2" xfId="13889" xr:uid="{0ED7BC27-C33B-4663-AE56-D7B5B70ECB2A}"/>
    <cellStyle name="Comma 4 3 4 3 4" xfId="9671" xr:uid="{F2C3CD3F-C67A-4316-AB00-CEF4B9F76211}"/>
    <cellStyle name="Comma 4 3 4 4" xfId="1555" xr:uid="{00000000-0005-0000-0000-0000A4090000}"/>
    <cellStyle name="Comma 4 3 4 4 2" xfId="3785" xr:uid="{00000000-0005-0000-0000-0000A5090000}"/>
    <cellStyle name="Comma 4 3 4 4 2 2" xfId="8008" xr:uid="{00000000-0005-0000-0000-0000A6090000}"/>
    <cellStyle name="Comma 4 3 4 4 2 2 2" xfId="16447" xr:uid="{58B9CFF3-42ED-4D07-9A86-AD9374DA3910}"/>
    <cellStyle name="Comma 4 3 4 4 2 3" xfId="12229" xr:uid="{AB68A740-B896-4275-8F8F-0590CEC8270E}"/>
    <cellStyle name="Comma 4 3 4 4 3" xfId="5863" xr:uid="{00000000-0005-0000-0000-0000A7090000}"/>
    <cellStyle name="Comma 4 3 4 4 3 2" xfId="14302" xr:uid="{980E79E1-B5F1-465C-A23E-672DF480DCD5}"/>
    <cellStyle name="Comma 4 3 4 4 4" xfId="10084" xr:uid="{33F79252-8515-42FA-B387-763E71A4D61B}"/>
    <cellStyle name="Comma 4 3 4 5" xfId="1969" xr:uid="{00000000-0005-0000-0000-0000A8090000}"/>
    <cellStyle name="Comma 4 3 4 5 2" xfId="4198" xr:uid="{00000000-0005-0000-0000-0000A9090000}"/>
    <cellStyle name="Comma 4 3 4 5 2 2" xfId="8421" xr:uid="{00000000-0005-0000-0000-0000AA090000}"/>
    <cellStyle name="Comma 4 3 4 5 2 2 2" xfId="16860" xr:uid="{B956A830-7581-4B09-8B1F-ADD44175DB1B}"/>
    <cellStyle name="Comma 4 3 4 5 2 3" xfId="12642" xr:uid="{D73942A0-6110-47EC-896E-FECD29162EC4}"/>
    <cellStyle name="Comma 4 3 4 5 3" xfId="6276" xr:uid="{00000000-0005-0000-0000-0000AB090000}"/>
    <cellStyle name="Comma 4 3 4 5 3 2" xfId="14715" xr:uid="{2910B830-D48B-4507-972E-DBDAF3AFA13F}"/>
    <cellStyle name="Comma 4 3 4 5 4" xfId="10497" xr:uid="{66031502-20DA-40AA-8DE1-69E5C6D9EFC9}"/>
    <cellStyle name="Comma 4 3 4 6" xfId="2404" xr:uid="{00000000-0005-0000-0000-0000AC090000}"/>
    <cellStyle name="Comma 4 3 4 6 2" xfId="6689" xr:uid="{00000000-0005-0000-0000-0000AD090000}"/>
    <cellStyle name="Comma 4 3 4 6 2 2" xfId="15128" xr:uid="{5E891C3C-C326-454C-ACAD-1736B271D366}"/>
    <cellStyle name="Comma 4 3 4 6 3" xfId="10910" xr:uid="{521F764B-2472-41C0-BDCA-E959A601D4DF}"/>
    <cellStyle name="Comma 4 3 4 7" xfId="2700" xr:uid="{00000000-0005-0000-0000-0000AE090000}"/>
    <cellStyle name="Comma 4 3 4 8" xfId="2782" xr:uid="{00000000-0005-0000-0000-0000AF090000}"/>
    <cellStyle name="Comma 4 3 4 8 2" xfId="7006" xr:uid="{00000000-0005-0000-0000-0000B0090000}"/>
    <cellStyle name="Comma 4 3 4 8 2 2" xfId="15445" xr:uid="{4BE12969-63C2-4D2A-88EB-6CFEA546741D}"/>
    <cellStyle name="Comma 4 3 4 8 3" xfId="11227" xr:uid="{B1BFE6C6-2769-4EFA-B321-781815B6DD26}"/>
    <cellStyle name="Comma 4 3 4 9" xfId="4623" xr:uid="{00000000-0005-0000-0000-0000B1090000}"/>
    <cellStyle name="Comma 4 3 4 9 2" xfId="13062" xr:uid="{7D2002FE-5E0D-4E16-AFB5-1E8C5E13B2C6}"/>
    <cellStyle name="Comma 4 3 5" xfId="152" xr:uid="{00000000-0005-0000-0000-0000B2090000}"/>
    <cellStyle name="Comma 4 3 5 10" xfId="8845" xr:uid="{0F6AB5B3-AC0F-4618-B9C4-ECDD5B82DFE9}"/>
    <cellStyle name="Comma 4 3 5 2" xfId="689" xr:uid="{00000000-0005-0000-0000-0000B3090000}"/>
    <cellStyle name="Comma 4 3 5 2 2" xfId="2960" xr:uid="{00000000-0005-0000-0000-0000B4090000}"/>
    <cellStyle name="Comma 4 3 5 2 2 2" xfId="7183" xr:uid="{00000000-0005-0000-0000-0000B5090000}"/>
    <cellStyle name="Comma 4 3 5 2 2 2 2" xfId="15622" xr:uid="{0C41C666-2B5B-4703-9568-103158FCEBDB}"/>
    <cellStyle name="Comma 4 3 5 2 2 3" xfId="11404" xr:uid="{DF947A93-E801-4339-850F-E51C980F31D8}"/>
    <cellStyle name="Comma 4 3 5 2 3" xfId="5038" xr:uid="{00000000-0005-0000-0000-0000B6090000}"/>
    <cellStyle name="Comma 4 3 5 2 3 2" xfId="13477" xr:uid="{78152EFE-E22E-4077-A559-2CFF87EA90C2}"/>
    <cellStyle name="Comma 4 3 5 2 4" xfId="9259" xr:uid="{621C8B4B-F9FC-4DDA-9500-41A641C54419}"/>
    <cellStyle name="Comma 4 3 5 3" xfId="1142" xr:uid="{00000000-0005-0000-0000-0000B7090000}"/>
    <cellStyle name="Comma 4 3 5 3 2" xfId="3373" xr:uid="{00000000-0005-0000-0000-0000B8090000}"/>
    <cellStyle name="Comma 4 3 5 3 2 2" xfId="7596" xr:uid="{00000000-0005-0000-0000-0000B9090000}"/>
    <cellStyle name="Comma 4 3 5 3 2 2 2" xfId="16035" xr:uid="{ADC65631-4683-48C6-A8DD-8D88D49DD018}"/>
    <cellStyle name="Comma 4 3 5 3 2 3" xfId="11817" xr:uid="{9E3D093D-97DC-44A2-B99C-68F019CE1CB4}"/>
    <cellStyle name="Comma 4 3 5 3 3" xfId="5451" xr:uid="{00000000-0005-0000-0000-0000BA090000}"/>
    <cellStyle name="Comma 4 3 5 3 3 2" xfId="13890" xr:uid="{E43E0A4D-FFF9-46A1-9930-4EE571F8B018}"/>
    <cellStyle name="Comma 4 3 5 3 4" xfId="9672" xr:uid="{FE1D74D0-9749-4B33-A529-B632E21FCEBF}"/>
    <cellStyle name="Comma 4 3 5 4" xfId="1556" xr:uid="{00000000-0005-0000-0000-0000BB090000}"/>
    <cellStyle name="Comma 4 3 5 4 2" xfId="3786" xr:uid="{00000000-0005-0000-0000-0000BC090000}"/>
    <cellStyle name="Comma 4 3 5 4 2 2" xfId="8009" xr:uid="{00000000-0005-0000-0000-0000BD090000}"/>
    <cellStyle name="Comma 4 3 5 4 2 2 2" xfId="16448" xr:uid="{2F0A2E6E-C028-4EDF-A148-CFFBD7A423B2}"/>
    <cellStyle name="Comma 4 3 5 4 2 3" xfId="12230" xr:uid="{5014CC67-F74E-44A5-89E3-0844CEC05371}"/>
    <cellStyle name="Comma 4 3 5 4 3" xfId="5864" xr:uid="{00000000-0005-0000-0000-0000BE090000}"/>
    <cellStyle name="Comma 4 3 5 4 3 2" xfId="14303" xr:uid="{EB97017F-84D6-4A6C-87F9-9E3A47FD7137}"/>
    <cellStyle name="Comma 4 3 5 4 4" xfId="10085" xr:uid="{528B441F-7DAB-4B8F-80BE-1E8568D12F00}"/>
    <cellStyle name="Comma 4 3 5 5" xfId="1970" xr:uid="{00000000-0005-0000-0000-0000BF090000}"/>
    <cellStyle name="Comma 4 3 5 5 2" xfId="4199" xr:uid="{00000000-0005-0000-0000-0000C0090000}"/>
    <cellStyle name="Comma 4 3 5 5 2 2" xfId="8422" xr:uid="{00000000-0005-0000-0000-0000C1090000}"/>
    <cellStyle name="Comma 4 3 5 5 2 2 2" xfId="16861" xr:uid="{BD345A61-FF18-453A-A4FA-8E088312418B}"/>
    <cellStyle name="Comma 4 3 5 5 2 3" xfId="12643" xr:uid="{8239B005-5060-4E27-B9F6-809E8D02B97D}"/>
    <cellStyle name="Comma 4 3 5 5 3" xfId="6277" xr:uid="{00000000-0005-0000-0000-0000C2090000}"/>
    <cellStyle name="Comma 4 3 5 5 3 2" xfId="14716" xr:uid="{B15EB6C2-4597-45B7-8F5E-F356C04D4E9B}"/>
    <cellStyle name="Comma 4 3 5 5 4" xfId="10498" xr:uid="{643EAB23-4D44-45EE-B1F4-105AF554E19B}"/>
    <cellStyle name="Comma 4 3 5 6" xfId="2405" xr:uid="{00000000-0005-0000-0000-0000C3090000}"/>
    <cellStyle name="Comma 4 3 5 6 2" xfId="6690" xr:uid="{00000000-0005-0000-0000-0000C4090000}"/>
    <cellStyle name="Comma 4 3 5 6 2 2" xfId="15129" xr:uid="{A9E9D5B5-6575-4C61-B64F-181A371256E3}"/>
    <cellStyle name="Comma 4 3 5 6 3" xfId="10911" xr:uid="{ECF09979-C922-4ABD-93DD-DC7B9CA8A0EC}"/>
    <cellStyle name="Comma 4 3 5 7" xfId="2701" xr:uid="{00000000-0005-0000-0000-0000C5090000}"/>
    <cellStyle name="Comma 4 3 5 8" xfId="2783" xr:uid="{00000000-0005-0000-0000-0000C6090000}"/>
    <cellStyle name="Comma 4 3 5 8 2" xfId="7007" xr:uid="{00000000-0005-0000-0000-0000C7090000}"/>
    <cellStyle name="Comma 4 3 5 8 2 2" xfId="15446" xr:uid="{9FDFE76B-1970-4124-96DC-A402A1AFEFC3}"/>
    <cellStyle name="Comma 4 3 5 8 3" xfId="11228" xr:uid="{D89D166E-E455-410F-AE80-345D0D084089}"/>
    <cellStyle name="Comma 4 3 5 9" xfId="4624" xr:uid="{00000000-0005-0000-0000-0000C8090000}"/>
    <cellStyle name="Comma 4 3 5 9 2" xfId="13063" xr:uid="{2DEEB795-861C-4924-80D4-2C7F11ECE916}"/>
    <cellStyle name="Comma 4 4" xfId="153" xr:uid="{00000000-0005-0000-0000-0000C9090000}"/>
    <cellStyle name="Comma 4 4 10" xfId="2784" xr:uid="{00000000-0005-0000-0000-0000CA090000}"/>
    <cellStyle name="Comma 4 4 10 2" xfId="7008" xr:uid="{00000000-0005-0000-0000-0000CB090000}"/>
    <cellStyle name="Comma 4 4 10 2 2" xfId="15447" xr:uid="{0582EA59-2751-40C4-8656-46A82138CB98}"/>
    <cellStyle name="Comma 4 4 10 3" xfId="11229" xr:uid="{E7EBF254-A8FC-496F-9D2C-F32E7FB31BF4}"/>
    <cellStyle name="Comma 4 4 11" xfId="4625" xr:uid="{00000000-0005-0000-0000-0000CC090000}"/>
    <cellStyle name="Comma 4 4 11 2" xfId="13064" xr:uid="{5F66E6F7-C4A5-4CE9-9C7C-EC110C8E4ECE}"/>
    <cellStyle name="Comma 4 4 12" xfId="8846" xr:uid="{32A43750-66D6-4B14-A837-FE549DC957CC}"/>
    <cellStyle name="Comma 4 4 2" xfId="154" xr:uid="{00000000-0005-0000-0000-0000CD090000}"/>
    <cellStyle name="Comma 4 4 2 10" xfId="4626" xr:uid="{00000000-0005-0000-0000-0000CE090000}"/>
    <cellStyle name="Comma 4 4 2 10 2" xfId="13065" xr:uid="{3F871A02-558A-426C-90EF-DCBBD68580F1}"/>
    <cellStyle name="Comma 4 4 2 11" xfId="8847" xr:uid="{94CD078A-AF48-4B6F-B398-8A64BFE17FA3}"/>
    <cellStyle name="Comma 4 4 2 2" xfId="155" xr:uid="{00000000-0005-0000-0000-0000CF090000}"/>
    <cellStyle name="Comma 4 4 2 2 10" xfId="8848" xr:uid="{9680FE9D-0186-4EAA-BAD7-F45931C7C221}"/>
    <cellStyle name="Comma 4 4 2 2 2" xfId="692" xr:uid="{00000000-0005-0000-0000-0000D0090000}"/>
    <cellStyle name="Comma 4 4 2 2 2 2" xfId="2963" xr:uid="{00000000-0005-0000-0000-0000D1090000}"/>
    <cellStyle name="Comma 4 4 2 2 2 2 2" xfId="7186" xr:uid="{00000000-0005-0000-0000-0000D2090000}"/>
    <cellStyle name="Comma 4 4 2 2 2 2 2 2" xfId="15625" xr:uid="{B761CAAE-16D3-4359-B04A-2F2952EBE97C}"/>
    <cellStyle name="Comma 4 4 2 2 2 2 3" xfId="11407" xr:uid="{5834E417-BC13-4A01-B120-5527044E4CE1}"/>
    <cellStyle name="Comma 4 4 2 2 2 3" xfId="5041" xr:uid="{00000000-0005-0000-0000-0000D3090000}"/>
    <cellStyle name="Comma 4 4 2 2 2 3 2" xfId="13480" xr:uid="{E78A2574-49C6-457A-9BBA-A18C201C1459}"/>
    <cellStyle name="Comma 4 4 2 2 2 4" xfId="9262" xr:uid="{52FBB12F-E12A-4FE9-9E16-CC69BE6BB23E}"/>
    <cellStyle name="Comma 4 4 2 2 3" xfId="1145" xr:uid="{00000000-0005-0000-0000-0000D4090000}"/>
    <cellStyle name="Comma 4 4 2 2 3 2" xfId="3376" xr:uid="{00000000-0005-0000-0000-0000D5090000}"/>
    <cellStyle name="Comma 4 4 2 2 3 2 2" xfId="7599" xr:uid="{00000000-0005-0000-0000-0000D6090000}"/>
    <cellStyle name="Comma 4 4 2 2 3 2 2 2" xfId="16038" xr:uid="{D1E85D31-5E1B-42D8-BD9B-530A3A4A9505}"/>
    <cellStyle name="Comma 4 4 2 2 3 2 3" xfId="11820" xr:uid="{5234ACFA-1CE1-4C67-AAE0-CBD3CFF2893B}"/>
    <cellStyle name="Comma 4 4 2 2 3 3" xfId="5454" xr:uid="{00000000-0005-0000-0000-0000D7090000}"/>
    <cellStyle name="Comma 4 4 2 2 3 3 2" xfId="13893" xr:uid="{96CBEBC5-1445-4DFE-9494-C72D9C731481}"/>
    <cellStyle name="Comma 4 4 2 2 3 4" xfId="9675" xr:uid="{791679F6-E9E9-4D71-9666-A9B99F1AACA1}"/>
    <cellStyle name="Comma 4 4 2 2 4" xfId="1559" xr:uid="{00000000-0005-0000-0000-0000D8090000}"/>
    <cellStyle name="Comma 4 4 2 2 4 2" xfId="3789" xr:uid="{00000000-0005-0000-0000-0000D9090000}"/>
    <cellStyle name="Comma 4 4 2 2 4 2 2" xfId="8012" xr:uid="{00000000-0005-0000-0000-0000DA090000}"/>
    <cellStyle name="Comma 4 4 2 2 4 2 2 2" xfId="16451" xr:uid="{8C5F60C4-B29A-4A06-8EBD-F9AAC2E2169D}"/>
    <cellStyle name="Comma 4 4 2 2 4 2 3" xfId="12233" xr:uid="{938C120E-9A19-4D3D-8D7C-EEFCA0A3B385}"/>
    <cellStyle name="Comma 4 4 2 2 4 3" xfId="5867" xr:uid="{00000000-0005-0000-0000-0000DB090000}"/>
    <cellStyle name="Comma 4 4 2 2 4 3 2" xfId="14306" xr:uid="{7D4B13F0-84AD-49D2-BD71-6D9C09331F39}"/>
    <cellStyle name="Comma 4 4 2 2 4 4" xfId="10088" xr:uid="{C26806B1-9736-405B-B31D-E0253372DB81}"/>
    <cellStyle name="Comma 4 4 2 2 5" xfId="1973" xr:uid="{00000000-0005-0000-0000-0000DC090000}"/>
    <cellStyle name="Comma 4 4 2 2 5 2" xfId="4202" xr:uid="{00000000-0005-0000-0000-0000DD090000}"/>
    <cellStyle name="Comma 4 4 2 2 5 2 2" xfId="8425" xr:uid="{00000000-0005-0000-0000-0000DE090000}"/>
    <cellStyle name="Comma 4 4 2 2 5 2 2 2" xfId="16864" xr:uid="{62FF635B-3D0F-4964-8772-37E2E5EF77DA}"/>
    <cellStyle name="Comma 4 4 2 2 5 2 3" xfId="12646" xr:uid="{21502339-C677-45C0-9F1A-C77331327B95}"/>
    <cellStyle name="Comma 4 4 2 2 5 3" xfId="6280" xr:uid="{00000000-0005-0000-0000-0000DF090000}"/>
    <cellStyle name="Comma 4 4 2 2 5 3 2" xfId="14719" xr:uid="{E2C7EEC8-23C0-4C9A-B8D6-14CC0E5BA7E2}"/>
    <cellStyle name="Comma 4 4 2 2 5 4" xfId="10501" xr:uid="{D41E5E59-D201-4B32-872D-B4BD428BE6AF}"/>
    <cellStyle name="Comma 4 4 2 2 6" xfId="2408" xr:uid="{00000000-0005-0000-0000-0000E0090000}"/>
    <cellStyle name="Comma 4 4 2 2 6 2" xfId="6693" xr:uid="{00000000-0005-0000-0000-0000E1090000}"/>
    <cellStyle name="Comma 4 4 2 2 6 2 2" xfId="15132" xr:uid="{60F1AE8A-4A5E-49DE-BD4B-A75EA0E2C2FE}"/>
    <cellStyle name="Comma 4 4 2 2 6 3" xfId="10914" xr:uid="{B2C701A1-6BFB-4D0C-A3C5-2B66A3635C32}"/>
    <cellStyle name="Comma 4 4 2 2 7" xfId="2704" xr:uid="{00000000-0005-0000-0000-0000E2090000}"/>
    <cellStyle name="Comma 4 4 2 2 8" xfId="2786" xr:uid="{00000000-0005-0000-0000-0000E3090000}"/>
    <cellStyle name="Comma 4 4 2 2 8 2" xfId="7010" xr:uid="{00000000-0005-0000-0000-0000E4090000}"/>
    <cellStyle name="Comma 4 4 2 2 8 2 2" xfId="15449" xr:uid="{A49AC16C-7210-4C25-9822-643CE86EF097}"/>
    <cellStyle name="Comma 4 4 2 2 8 3" xfId="11231" xr:uid="{21821838-238A-4B4F-8961-C8DD2E6A3871}"/>
    <cellStyle name="Comma 4 4 2 2 9" xfId="4627" xr:uid="{00000000-0005-0000-0000-0000E5090000}"/>
    <cellStyle name="Comma 4 4 2 2 9 2" xfId="13066" xr:uid="{DAE9FC54-1E2F-4C7B-9CDB-0E1F54A755BE}"/>
    <cellStyle name="Comma 4 4 2 3" xfId="691" xr:uid="{00000000-0005-0000-0000-0000E6090000}"/>
    <cellStyle name="Comma 4 4 2 3 2" xfId="2962" xr:uid="{00000000-0005-0000-0000-0000E7090000}"/>
    <cellStyle name="Comma 4 4 2 3 2 2" xfId="7185" xr:uid="{00000000-0005-0000-0000-0000E8090000}"/>
    <cellStyle name="Comma 4 4 2 3 2 2 2" xfId="15624" xr:uid="{0A204A50-5CD1-42DA-8D8E-B2A865642F40}"/>
    <cellStyle name="Comma 4 4 2 3 2 3" xfId="11406" xr:uid="{289F6BB7-DDAC-4FF4-A364-A7E555FF547D}"/>
    <cellStyle name="Comma 4 4 2 3 3" xfId="5040" xr:uid="{00000000-0005-0000-0000-0000E9090000}"/>
    <cellStyle name="Comma 4 4 2 3 3 2" xfId="13479" xr:uid="{5CF9B793-1447-4613-AFBF-57BA0EBC889B}"/>
    <cellStyle name="Comma 4 4 2 3 4" xfId="9261" xr:uid="{0BB9B012-6641-4475-9C2B-75071DB76429}"/>
    <cellStyle name="Comma 4 4 2 4" xfId="1144" xr:uid="{00000000-0005-0000-0000-0000EA090000}"/>
    <cellStyle name="Comma 4 4 2 4 2" xfId="3375" xr:uid="{00000000-0005-0000-0000-0000EB090000}"/>
    <cellStyle name="Comma 4 4 2 4 2 2" xfId="7598" xr:uid="{00000000-0005-0000-0000-0000EC090000}"/>
    <cellStyle name="Comma 4 4 2 4 2 2 2" xfId="16037" xr:uid="{5C664590-1029-4074-810B-3701E303CB61}"/>
    <cellStyle name="Comma 4 4 2 4 2 3" xfId="11819" xr:uid="{FBBBBF03-6B3A-45E6-8127-399F9829AB97}"/>
    <cellStyle name="Comma 4 4 2 4 3" xfId="5453" xr:uid="{00000000-0005-0000-0000-0000ED090000}"/>
    <cellStyle name="Comma 4 4 2 4 3 2" xfId="13892" xr:uid="{83A33335-CCEB-4EE7-B9C1-E60E459E4F8F}"/>
    <cellStyle name="Comma 4 4 2 4 4" xfId="9674" xr:uid="{3F3CBA00-AC1B-4754-ACB3-0D003E6B0761}"/>
    <cellStyle name="Comma 4 4 2 5" xfId="1558" xr:uid="{00000000-0005-0000-0000-0000EE090000}"/>
    <cellStyle name="Comma 4 4 2 5 2" xfId="3788" xr:uid="{00000000-0005-0000-0000-0000EF090000}"/>
    <cellStyle name="Comma 4 4 2 5 2 2" xfId="8011" xr:uid="{00000000-0005-0000-0000-0000F0090000}"/>
    <cellStyle name="Comma 4 4 2 5 2 2 2" xfId="16450" xr:uid="{0D6DDBD6-79AB-412E-B205-B8AE93350D9E}"/>
    <cellStyle name="Comma 4 4 2 5 2 3" xfId="12232" xr:uid="{CFF77CD3-D08D-48B7-9153-62E697ACC914}"/>
    <cellStyle name="Comma 4 4 2 5 3" xfId="5866" xr:uid="{00000000-0005-0000-0000-0000F1090000}"/>
    <cellStyle name="Comma 4 4 2 5 3 2" xfId="14305" xr:uid="{91AD5606-72C6-4247-985C-942836F5131E}"/>
    <cellStyle name="Comma 4 4 2 5 4" xfId="10087" xr:uid="{C8ED58DE-CB97-42C3-9C20-DF6D708378C4}"/>
    <cellStyle name="Comma 4 4 2 6" xfId="1972" xr:uid="{00000000-0005-0000-0000-0000F2090000}"/>
    <cellStyle name="Comma 4 4 2 6 2" xfId="4201" xr:uid="{00000000-0005-0000-0000-0000F3090000}"/>
    <cellStyle name="Comma 4 4 2 6 2 2" xfId="8424" xr:uid="{00000000-0005-0000-0000-0000F4090000}"/>
    <cellStyle name="Comma 4 4 2 6 2 2 2" xfId="16863" xr:uid="{24C286C3-F3C8-4B8F-8E8B-80822068050A}"/>
    <cellStyle name="Comma 4 4 2 6 2 3" xfId="12645" xr:uid="{F9BDCF05-D582-4615-8FF1-5FCECBC41448}"/>
    <cellStyle name="Comma 4 4 2 6 3" xfId="6279" xr:uid="{00000000-0005-0000-0000-0000F5090000}"/>
    <cellStyle name="Comma 4 4 2 6 3 2" xfId="14718" xr:uid="{239B84C6-7B56-4ABA-8571-62DA0E5DF259}"/>
    <cellStyle name="Comma 4 4 2 6 4" xfId="10500" xr:uid="{29407A4A-DF54-417C-8902-D6164409FC0E}"/>
    <cellStyle name="Comma 4 4 2 7" xfId="2407" xr:uid="{00000000-0005-0000-0000-0000F6090000}"/>
    <cellStyle name="Comma 4 4 2 7 2" xfId="6692" xr:uid="{00000000-0005-0000-0000-0000F7090000}"/>
    <cellStyle name="Comma 4 4 2 7 2 2" xfId="15131" xr:uid="{82410191-C3CC-4A2D-902E-6CB807935F66}"/>
    <cellStyle name="Comma 4 4 2 7 3" xfId="10913" xr:uid="{4FA93C22-E3DB-4C35-A56F-787225FF9A1A}"/>
    <cellStyle name="Comma 4 4 2 8" xfId="2703" xr:uid="{00000000-0005-0000-0000-0000F8090000}"/>
    <cellStyle name="Comma 4 4 2 9" xfId="2785" xr:uid="{00000000-0005-0000-0000-0000F9090000}"/>
    <cellStyle name="Comma 4 4 2 9 2" xfId="7009" xr:uid="{00000000-0005-0000-0000-0000FA090000}"/>
    <cellStyle name="Comma 4 4 2 9 2 2" xfId="15448" xr:uid="{85168614-CA83-43A5-BA15-0CBC0C4817BC}"/>
    <cellStyle name="Comma 4 4 2 9 3" xfId="11230" xr:uid="{08AC8D65-6D48-4935-8BDA-0C4BF0B53993}"/>
    <cellStyle name="Comma 4 4 3" xfId="156" xr:uid="{00000000-0005-0000-0000-0000FB090000}"/>
    <cellStyle name="Comma 4 4 3 10" xfId="8849" xr:uid="{05E38558-CE3E-4544-8920-DBEC30AEC0D8}"/>
    <cellStyle name="Comma 4 4 3 2" xfId="693" xr:uid="{00000000-0005-0000-0000-0000FC090000}"/>
    <cellStyle name="Comma 4 4 3 2 2" xfId="2964" xr:uid="{00000000-0005-0000-0000-0000FD090000}"/>
    <cellStyle name="Comma 4 4 3 2 2 2" xfId="7187" xr:uid="{00000000-0005-0000-0000-0000FE090000}"/>
    <cellStyle name="Comma 4 4 3 2 2 2 2" xfId="15626" xr:uid="{6B03C684-2207-4F7D-8B75-0A13C8E02F44}"/>
    <cellStyle name="Comma 4 4 3 2 2 3" xfId="11408" xr:uid="{7358D88B-A579-4694-A5F1-CDCDE2118D0F}"/>
    <cellStyle name="Comma 4 4 3 2 3" xfId="5042" xr:uid="{00000000-0005-0000-0000-0000FF090000}"/>
    <cellStyle name="Comma 4 4 3 2 3 2" xfId="13481" xr:uid="{98C72AF8-E9F2-4291-9450-B4B0670417C8}"/>
    <cellStyle name="Comma 4 4 3 2 4" xfId="9263" xr:uid="{25BCAA51-739F-475A-87BF-9B8A06FD39F4}"/>
    <cellStyle name="Comma 4 4 3 3" xfId="1146" xr:uid="{00000000-0005-0000-0000-0000000A0000}"/>
    <cellStyle name="Comma 4 4 3 3 2" xfId="3377" xr:uid="{00000000-0005-0000-0000-0000010A0000}"/>
    <cellStyle name="Comma 4 4 3 3 2 2" xfId="7600" xr:uid="{00000000-0005-0000-0000-0000020A0000}"/>
    <cellStyle name="Comma 4 4 3 3 2 2 2" xfId="16039" xr:uid="{A950A739-3CCE-4027-914F-A74A7431AA5F}"/>
    <cellStyle name="Comma 4 4 3 3 2 3" xfId="11821" xr:uid="{06FB37EF-14F1-4CDA-8D4E-BB33E504C959}"/>
    <cellStyle name="Comma 4 4 3 3 3" xfId="5455" xr:uid="{00000000-0005-0000-0000-0000030A0000}"/>
    <cellStyle name="Comma 4 4 3 3 3 2" xfId="13894" xr:uid="{E3903723-8DE9-4142-8826-2AF656690A68}"/>
    <cellStyle name="Comma 4 4 3 3 4" xfId="9676" xr:uid="{E4CE1EF2-2C8E-46BD-9A13-9A99A9506086}"/>
    <cellStyle name="Comma 4 4 3 4" xfId="1560" xr:uid="{00000000-0005-0000-0000-0000040A0000}"/>
    <cellStyle name="Comma 4 4 3 4 2" xfId="3790" xr:uid="{00000000-0005-0000-0000-0000050A0000}"/>
    <cellStyle name="Comma 4 4 3 4 2 2" xfId="8013" xr:uid="{00000000-0005-0000-0000-0000060A0000}"/>
    <cellStyle name="Comma 4 4 3 4 2 2 2" xfId="16452" xr:uid="{80372E5E-ECE2-426E-9D39-ADEB78666248}"/>
    <cellStyle name="Comma 4 4 3 4 2 3" xfId="12234" xr:uid="{BC69DEE2-F76E-4D38-8B86-2019675BBABF}"/>
    <cellStyle name="Comma 4 4 3 4 3" xfId="5868" xr:uid="{00000000-0005-0000-0000-0000070A0000}"/>
    <cellStyle name="Comma 4 4 3 4 3 2" xfId="14307" xr:uid="{ECC67305-540E-4515-B3EE-052256E8289F}"/>
    <cellStyle name="Comma 4 4 3 4 4" xfId="10089" xr:uid="{E23E12C5-6D36-4F74-B768-CDA933CE2673}"/>
    <cellStyle name="Comma 4 4 3 5" xfId="1974" xr:uid="{00000000-0005-0000-0000-0000080A0000}"/>
    <cellStyle name="Comma 4 4 3 5 2" xfId="4203" xr:uid="{00000000-0005-0000-0000-0000090A0000}"/>
    <cellStyle name="Comma 4 4 3 5 2 2" xfId="8426" xr:uid="{00000000-0005-0000-0000-00000A0A0000}"/>
    <cellStyle name="Comma 4 4 3 5 2 2 2" xfId="16865" xr:uid="{2514F8F0-6558-451F-B107-EB809DB39FFD}"/>
    <cellStyle name="Comma 4 4 3 5 2 3" xfId="12647" xr:uid="{07D77D03-789E-45B4-AA23-C0E884F26F27}"/>
    <cellStyle name="Comma 4 4 3 5 3" xfId="6281" xr:uid="{00000000-0005-0000-0000-00000B0A0000}"/>
    <cellStyle name="Comma 4 4 3 5 3 2" xfId="14720" xr:uid="{037C4D72-D391-450F-B6EA-CAB0860C111A}"/>
    <cellStyle name="Comma 4 4 3 5 4" xfId="10502" xr:uid="{E5FB59B0-4677-4B94-B32E-3E2B7F173132}"/>
    <cellStyle name="Comma 4 4 3 6" xfId="2409" xr:uid="{00000000-0005-0000-0000-00000C0A0000}"/>
    <cellStyle name="Comma 4 4 3 6 2" xfId="6694" xr:uid="{00000000-0005-0000-0000-00000D0A0000}"/>
    <cellStyle name="Comma 4 4 3 6 2 2" xfId="15133" xr:uid="{3900BAEC-D54E-4DE7-AE23-33ECA5DD22A1}"/>
    <cellStyle name="Comma 4 4 3 6 3" xfId="10915" xr:uid="{2D404E81-50E9-4E62-8E85-04A570EF3376}"/>
    <cellStyle name="Comma 4 4 3 7" xfId="2705" xr:uid="{00000000-0005-0000-0000-00000E0A0000}"/>
    <cellStyle name="Comma 4 4 3 8" xfId="2787" xr:uid="{00000000-0005-0000-0000-00000F0A0000}"/>
    <cellStyle name="Comma 4 4 3 8 2" xfId="7011" xr:uid="{00000000-0005-0000-0000-0000100A0000}"/>
    <cellStyle name="Comma 4 4 3 8 2 2" xfId="15450" xr:uid="{99667BA0-DB64-424B-B101-6C42B7FAC4D7}"/>
    <cellStyle name="Comma 4 4 3 8 3" xfId="11232" xr:uid="{47A964ED-52C9-472C-BAA4-02A814D8D60C}"/>
    <cellStyle name="Comma 4 4 3 9" xfId="4628" xr:uid="{00000000-0005-0000-0000-0000110A0000}"/>
    <cellStyle name="Comma 4 4 3 9 2" xfId="13067" xr:uid="{2C7BCF80-69CB-4DEC-B25B-5166F4AA25D2}"/>
    <cellStyle name="Comma 4 4 4" xfId="690" xr:uid="{00000000-0005-0000-0000-0000120A0000}"/>
    <cellStyle name="Comma 4 4 4 2" xfId="2961" xr:uid="{00000000-0005-0000-0000-0000130A0000}"/>
    <cellStyle name="Comma 4 4 4 2 2" xfId="7184" xr:uid="{00000000-0005-0000-0000-0000140A0000}"/>
    <cellStyle name="Comma 4 4 4 2 2 2" xfId="15623" xr:uid="{E939FA5D-15BF-4E83-9111-0AD62E205F9F}"/>
    <cellStyle name="Comma 4 4 4 2 3" xfId="11405" xr:uid="{CDE5DA47-4763-4F8A-A666-0301B847D0DF}"/>
    <cellStyle name="Comma 4 4 4 3" xfId="5039" xr:uid="{00000000-0005-0000-0000-0000150A0000}"/>
    <cellStyle name="Comma 4 4 4 3 2" xfId="13478" xr:uid="{6D0EFE83-D814-45CD-BC82-F419A2BD7A1C}"/>
    <cellStyle name="Comma 4 4 4 4" xfId="9260" xr:uid="{3CD8CF6C-2F07-4010-A4DB-1B3FBAD74F64}"/>
    <cellStyle name="Comma 4 4 5" xfId="1143" xr:uid="{00000000-0005-0000-0000-0000160A0000}"/>
    <cellStyle name="Comma 4 4 5 2" xfId="3374" xr:uid="{00000000-0005-0000-0000-0000170A0000}"/>
    <cellStyle name="Comma 4 4 5 2 2" xfId="7597" xr:uid="{00000000-0005-0000-0000-0000180A0000}"/>
    <cellStyle name="Comma 4 4 5 2 2 2" xfId="16036" xr:uid="{97B9412B-BC49-48B1-A1B2-46E8559A9816}"/>
    <cellStyle name="Comma 4 4 5 2 3" xfId="11818" xr:uid="{1976A360-7BC4-48ED-BA57-E7AB6860D220}"/>
    <cellStyle name="Comma 4 4 5 3" xfId="5452" xr:uid="{00000000-0005-0000-0000-0000190A0000}"/>
    <cellStyle name="Comma 4 4 5 3 2" xfId="13891" xr:uid="{B005D798-1F69-41EC-AE96-96AE95C8750C}"/>
    <cellStyle name="Comma 4 4 5 4" xfId="9673" xr:uid="{4E6EB5A2-A502-4307-A1A6-91C0B4927873}"/>
    <cellStyle name="Comma 4 4 6" xfId="1557" xr:uid="{00000000-0005-0000-0000-00001A0A0000}"/>
    <cellStyle name="Comma 4 4 6 2" xfId="3787" xr:uid="{00000000-0005-0000-0000-00001B0A0000}"/>
    <cellStyle name="Comma 4 4 6 2 2" xfId="8010" xr:uid="{00000000-0005-0000-0000-00001C0A0000}"/>
    <cellStyle name="Comma 4 4 6 2 2 2" xfId="16449" xr:uid="{F8D7406E-594E-46BE-B6AB-E1098C366971}"/>
    <cellStyle name="Comma 4 4 6 2 3" xfId="12231" xr:uid="{C7C4867C-A35C-4D00-AAF4-312304A64B89}"/>
    <cellStyle name="Comma 4 4 6 3" xfId="5865" xr:uid="{00000000-0005-0000-0000-00001D0A0000}"/>
    <cellStyle name="Comma 4 4 6 3 2" xfId="14304" xr:uid="{8476432D-19E5-4D4A-B1F5-34C0128E853F}"/>
    <cellStyle name="Comma 4 4 6 4" xfId="10086" xr:uid="{939873AC-919B-4B2C-8C81-FE553C255B5A}"/>
    <cellStyle name="Comma 4 4 7" xfId="1971" xr:uid="{00000000-0005-0000-0000-00001E0A0000}"/>
    <cellStyle name="Comma 4 4 7 2" xfId="4200" xr:uid="{00000000-0005-0000-0000-00001F0A0000}"/>
    <cellStyle name="Comma 4 4 7 2 2" xfId="8423" xr:uid="{00000000-0005-0000-0000-0000200A0000}"/>
    <cellStyle name="Comma 4 4 7 2 2 2" xfId="16862" xr:uid="{D5C8D4FC-DAEE-4DF0-B507-083AE2075EC0}"/>
    <cellStyle name="Comma 4 4 7 2 3" xfId="12644" xr:uid="{D165BE5E-579E-48F9-BEC4-EAFB1991E2E1}"/>
    <cellStyle name="Comma 4 4 7 3" xfId="6278" xr:uid="{00000000-0005-0000-0000-0000210A0000}"/>
    <cellStyle name="Comma 4 4 7 3 2" xfId="14717" xr:uid="{A1BFFB1A-C02C-415E-B889-6996215EF4C9}"/>
    <cellStyle name="Comma 4 4 7 4" xfId="10499" xr:uid="{4D399B4D-2663-4200-942D-4A822A48EB71}"/>
    <cellStyle name="Comma 4 4 8" xfId="2406" xr:uid="{00000000-0005-0000-0000-0000220A0000}"/>
    <cellStyle name="Comma 4 4 8 2" xfId="6691" xr:uid="{00000000-0005-0000-0000-0000230A0000}"/>
    <cellStyle name="Comma 4 4 8 2 2" xfId="15130" xr:uid="{CF2F5773-1CAD-4C54-89DD-A07493C110D3}"/>
    <cellStyle name="Comma 4 4 8 3" xfId="10912" xr:uid="{DB9CFE74-E054-46DE-B715-5B265F402A96}"/>
    <cellStyle name="Comma 4 4 9" xfId="2702" xr:uid="{00000000-0005-0000-0000-0000240A0000}"/>
    <cellStyle name="Comma 4 5" xfId="157" xr:uid="{00000000-0005-0000-0000-0000250A0000}"/>
    <cellStyle name="Comma 4 5 10" xfId="4629" xr:uid="{00000000-0005-0000-0000-0000260A0000}"/>
    <cellStyle name="Comma 4 5 10 2" xfId="13068" xr:uid="{AFC61209-E281-4F4F-BA1B-41307EF63D42}"/>
    <cellStyle name="Comma 4 5 11" xfId="8850" xr:uid="{2B49C238-5ED6-4A81-BBFB-5E556C5CF886}"/>
    <cellStyle name="Comma 4 5 2" xfId="158" xr:uid="{00000000-0005-0000-0000-0000270A0000}"/>
    <cellStyle name="Comma 4 5 2 10" xfId="8851" xr:uid="{8F83B5B6-4DF1-4B23-AF79-6FA1A4AEA6D8}"/>
    <cellStyle name="Comma 4 5 2 2" xfId="695" xr:uid="{00000000-0005-0000-0000-0000280A0000}"/>
    <cellStyle name="Comma 4 5 2 2 2" xfId="2966" xr:uid="{00000000-0005-0000-0000-0000290A0000}"/>
    <cellStyle name="Comma 4 5 2 2 2 2" xfId="7189" xr:uid="{00000000-0005-0000-0000-00002A0A0000}"/>
    <cellStyle name="Comma 4 5 2 2 2 2 2" xfId="15628" xr:uid="{FE91DC7D-74D4-4D04-B384-2C36C8485CBA}"/>
    <cellStyle name="Comma 4 5 2 2 2 3" xfId="11410" xr:uid="{B7873DCB-EAB2-4266-A7E0-B7664DD0C9EE}"/>
    <cellStyle name="Comma 4 5 2 2 3" xfId="5044" xr:uid="{00000000-0005-0000-0000-00002B0A0000}"/>
    <cellStyle name="Comma 4 5 2 2 3 2" xfId="13483" xr:uid="{3D6AFBA4-FE44-4731-9186-3DD9D5578B68}"/>
    <cellStyle name="Comma 4 5 2 2 4" xfId="9265" xr:uid="{CD2F9E53-1B68-4542-B57C-FD124A6C7398}"/>
    <cellStyle name="Comma 4 5 2 3" xfId="1148" xr:uid="{00000000-0005-0000-0000-00002C0A0000}"/>
    <cellStyle name="Comma 4 5 2 3 2" xfId="3379" xr:uid="{00000000-0005-0000-0000-00002D0A0000}"/>
    <cellStyle name="Comma 4 5 2 3 2 2" xfId="7602" xr:uid="{00000000-0005-0000-0000-00002E0A0000}"/>
    <cellStyle name="Comma 4 5 2 3 2 2 2" xfId="16041" xr:uid="{F9FDACDE-2BD6-47F2-9C62-5C0F003310B0}"/>
    <cellStyle name="Comma 4 5 2 3 2 3" xfId="11823" xr:uid="{5D8F02E2-FF58-4DB9-B78B-B86E0E9489FC}"/>
    <cellStyle name="Comma 4 5 2 3 3" xfId="5457" xr:uid="{00000000-0005-0000-0000-00002F0A0000}"/>
    <cellStyle name="Comma 4 5 2 3 3 2" xfId="13896" xr:uid="{BAC2010C-83C8-4434-B9BD-F7F0440AC550}"/>
    <cellStyle name="Comma 4 5 2 3 4" xfId="9678" xr:uid="{C613D254-D8D2-46CF-811E-DC21D8BA9F05}"/>
    <cellStyle name="Comma 4 5 2 4" xfId="1562" xr:uid="{00000000-0005-0000-0000-0000300A0000}"/>
    <cellStyle name="Comma 4 5 2 4 2" xfId="3792" xr:uid="{00000000-0005-0000-0000-0000310A0000}"/>
    <cellStyle name="Comma 4 5 2 4 2 2" xfId="8015" xr:uid="{00000000-0005-0000-0000-0000320A0000}"/>
    <cellStyle name="Comma 4 5 2 4 2 2 2" xfId="16454" xr:uid="{D688BE79-2E03-4EC1-B25F-3F86CB364D76}"/>
    <cellStyle name="Comma 4 5 2 4 2 3" xfId="12236" xr:uid="{8245F250-85E5-40C0-9AD1-F7F27E2A858D}"/>
    <cellStyle name="Comma 4 5 2 4 3" xfId="5870" xr:uid="{00000000-0005-0000-0000-0000330A0000}"/>
    <cellStyle name="Comma 4 5 2 4 3 2" xfId="14309" xr:uid="{74278BE1-460A-4ED1-BAF9-56277801D941}"/>
    <cellStyle name="Comma 4 5 2 4 4" xfId="10091" xr:uid="{5211926D-3694-4167-8161-E86F9EF2B8B3}"/>
    <cellStyle name="Comma 4 5 2 5" xfId="1976" xr:uid="{00000000-0005-0000-0000-0000340A0000}"/>
    <cellStyle name="Comma 4 5 2 5 2" xfId="4205" xr:uid="{00000000-0005-0000-0000-0000350A0000}"/>
    <cellStyle name="Comma 4 5 2 5 2 2" xfId="8428" xr:uid="{00000000-0005-0000-0000-0000360A0000}"/>
    <cellStyle name="Comma 4 5 2 5 2 2 2" xfId="16867" xr:uid="{A64EF379-4341-4B0B-B55D-7EC2B814034C}"/>
    <cellStyle name="Comma 4 5 2 5 2 3" xfId="12649" xr:uid="{834A487D-F0F8-4A39-ADC0-5158D28FFE17}"/>
    <cellStyle name="Comma 4 5 2 5 3" xfId="6283" xr:uid="{00000000-0005-0000-0000-0000370A0000}"/>
    <cellStyle name="Comma 4 5 2 5 3 2" xfId="14722" xr:uid="{90A64B48-4E5A-476F-88EE-80BFF5C42837}"/>
    <cellStyle name="Comma 4 5 2 5 4" xfId="10504" xr:uid="{F1F033ED-C47A-4388-A6E6-8C8210450EA7}"/>
    <cellStyle name="Comma 4 5 2 6" xfId="2411" xr:uid="{00000000-0005-0000-0000-0000380A0000}"/>
    <cellStyle name="Comma 4 5 2 6 2" xfId="6696" xr:uid="{00000000-0005-0000-0000-0000390A0000}"/>
    <cellStyle name="Comma 4 5 2 6 2 2" xfId="15135" xr:uid="{5D8879B2-D0AB-4B25-9E11-2572E472D685}"/>
    <cellStyle name="Comma 4 5 2 6 3" xfId="10917" xr:uid="{24D13CF4-D761-4EA2-B2F8-B260AEBC5D98}"/>
    <cellStyle name="Comma 4 5 2 7" xfId="2707" xr:uid="{00000000-0005-0000-0000-00003A0A0000}"/>
    <cellStyle name="Comma 4 5 2 8" xfId="2789" xr:uid="{00000000-0005-0000-0000-00003B0A0000}"/>
    <cellStyle name="Comma 4 5 2 8 2" xfId="7013" xr:uid="{00000000-0005-0000-0000-00003C0A0000}"/>
    <cellStyle name="Comma 4 5 2 8 2 2" xfId="15452" xr:uid="{168F56EB-9FC0-4E47-85F9-42EE4A2ED872}"/>
    <cellStyle name="Comma 4 5 2 8 3" xfId="11234" xr:uid="{ABDC696B-5C84-4E9F-A2F6-BAEF6D2EB61A}"/>
    <cellStyle name="Comma 4 5 2 9" xfId="4630" xr:uid="{00000000-0005-0000-0000-00003D0A0000}"/>
    <cellStyle name="Comma 4 5 2 9 2" xfId="13069" xr:uid="{88071710-1FCA-487C-B098-CF99948C4CFA}"/>
    <cellStyle name="Comma 4 5 3" xfId="694" xr:uid="{00000000-0005-0000-0000-00003E0A0000}"/>
    <cellStyle name="Comma 4 5 3 2" xfId="2965" xr:uid="{00000000-0005-0000-0000-00003F0A0000}"/>
    <cellStyle name="Comma 4 5 3 2 2" xfId="7188" xr:uid="{00000000-0005-0000-0000-0000400A0000}"/>
    <cellStyle name="Comma 4 5 3 2 2 2" xfId="15627" xr:uid="{A1EBA3CD-7C02-4D9A-BCCF-850A8D5FEC98}"/>
    <cellStyle name="Comma 4 5 3 2 3" xfId="11409" xr:uid="{0742A6BD-4BB6-46FA-8766-F5804DACA8A2}"/>
    <cellStyle name="Comma 4 5 3 3" xfId="5043" xr:uid="{00000000-0005-0000-0000-0000410A0000}"/>
    <cellStyle name="Comma 4 5 3 3 2" xfId="13482" xr:uid="{3124A623-AEE1-4561-83E8-7A29AB93F35D}"/>
    <cellStyle name="Comma 4 5 3 4" xfId="9264" xr:uid="{F53E1CC3-9643-4780-B9C3-61611281B9A1}"/>
    <cellStyle name="Comma 4 5 4" xfId="1147" xr:uid="{00000000-0005-0000-0000-0000420A0000}"/>
    <cellStyle name="Comma 4 5 4 2" xfId="3378" xr:uid="{00000000-0005-0000-0000-0000430A0000}"/>
    <cellStyle name="Comma 4 5 4 2 2" xfId="7601" xr:uid="{00000000-0005-0000-0000-0000440A0000}"/>
    <cellStyle name="Comma 4 5 4 2 2 2" xfId="16040" xr:uid="{D8C0205C-5334-4E9E-A741-389EC3DDB150}"/>
    <cellStyle name="Comma 4 5 4 2 3" xfId="11822" xr:uid="{F919FFC6-3FFF-4134-9E0D-253024F18632}"/>
    <cellStyle name="Comma 4 5 4 3" xfId="5456" xr:uid="{00000000-0005-0000-0000-0000450A0000}"/>
    <cellStyle name="Comma 4 5 4 3 2" xfId="13895" xr:uid="{F919E852-895D-4DC8-B516-84A622A45D3E}"/>
    <cellStyle name="Comma 4 5 4 4" xfId="9677" xr:uid="{23148EFD-DF76-4480-B370-2849C3F17744}"/>
    <cellStyle name="Comma 4 5 5" xfId="1561" xr:uid="{00000000-0005-0000-0000-0000460A0000}"/>
    <cellStyle name="Comma 4 5 5 2" xfId="3791" xr:uid="{00000000-0005-0000-0000-0000470A0000}"/>
    <cellStyle name="Comma 4 5 5 2 2" xfId="8014" xr:uid="{00000000-0005-0000-0000-0000480A0000}"/>
    <cellStyle name="Comma 4 5 5 2 2 2" xfId="16453" xr:uid="{F19E5B0A-0B78-4EDC-A794-0A40E2F4E5ED}"/>
    <cellStyle name="Comma 4 5 5 2 3" xfId="12235" xr:uid="{780E390C-BA3F-4AA2-BB5E-D89D0AFDD4E0}"/>
    <cellStyle name="Comma 4 5 5 3" xfId="5869" xr:uid="{00000000-0005-0000-0000-0000490A0000}"/>
    <cellStyle name="Comma 4 5 5 3 2" xfId="14308" xr:uid="{45D7FBB3-D75E-4627-B239-A3A86B15DED2}"/>
    <cellStyle name="Comma 4 5 5 4" xfId="10090" xr:uid="{47954570-2613-41AE-93B3-8295ADD93B41}"/>
    <cellStyle name="Comma 4 5 6" xfId="1975" xr:uid="{00000000-0005-0000-0000-00004A0A0000}"/>
    <cellStyle name="Comma 4 5 6 2" xfId="4204" xr:uid="{00000000-0005-0000-0000-00004B0A0000}"/>
    <cellStyle name="Comma 4 5 6 2 2" xfId="8427" xr:uid="{00000000-0005-0000-0000-00004C0A0000}"/>
    <cellStyle name="Comma 4 5 6 2 2 2" xfId="16866" xr:uid="{CD94CE5C-DD02-4A47-8BBB-9D245B5A9A3A}"/>
    <cellStyle name="Comma 4 5 6 2 3" xfId="12648" xr:uid="{1CB8F54A-8C67-47FE-853B-58C203B3A303}"/>
    <cellStyle name="Comma 4 5 6 3" xfId="6282" xr:uid="{00000000-0005-0000-0000-00004D0A0000}"/>
    <cellStyle name="Comma 4 5 6 3 2" xfId="14721" xr:uid="{37FC5585-49FD-4B59-92A4-2CE9BAAD50D5}"/>
    <cellStyle name="Comma 4 5 6 4" xfId="10503" xr:uid="{3ECDD7AA-D72A-4905-82A5-080A4B3032AD}"/>
    <cellStyle name="Comma 4 5 7" xfId="2410" xr:uid="{00000000-0005-0000-0000-00004E0A0000}"/>
    <cellStyle name="Comma 4 5 7 2" xfId="6695" xr:uid="{00000000-0005-0000-0000-00004F0A0000}"/>
    <cellStyle name="Comma 4 5 7 2 2" xfId="15134" xr:uid="{DA088412-4443-4297-BDF6-8DF5121D7F37}"/>
    <cellStyle name="Comma 4 5 7 3" xfId="10916" xr:uid="{70079A27-4003-449F-8E45-B68CDE0464BB}"/>
    <cellStyle name="Comma 4 5 8" xfId="2706" xr:uid="{00000000-0005-0000-0000-0000500A0000}"/>
    <cellStyle name="Comma 4 5 9" xfId="2788" xr:uid="{00000000-0005-0000-0000-0000510A0000}"/>
    <cellStyle name="Comma 4 5 9 2" xfId="7012" xr:uid="{00000000-0005-0000-0000-0000520A0000}"/>
    <cellStyle name="Comma 4 5 9 2 2" xfId="15451" xr:uid="{1BCDE9FF-E39B-4D1F-A6C0-E0697680F019}"/>
    <cellStyle name="Comma 4 5 9 3" xfId="11233" xr:uid="{ED0BE7AC-A82D-47B0-918A-F34F06425002}"/>
    <cellStyle name="Comma 4 6" xfId="159" xr:uid="{00000000-0005-0000-0000-0000530A0000}"/>
    <cellStyle name="Comma 4 6 10" xfId="8852" xr:uid="{38789946-BFCE-4BD8-8AFC-7F72C18AA58A}"/>
    <cellStyle name="Comma 4 6 2" xfId="696" xr:uid="{00000000-0005-0000-0000-0000540A0000}"/>
    <cellStyle name="Comma 4 6 2 2" xfId="2967" xr:uid="{00000000-0005-0000-0000-0000550A0000}"/>
    <cellStyle name="Comma 4 6 2 2 2" xfId="7190" xr:uid="{00000000-0005-0000-0000-0000560A0000}"/>
    <cellStyle name="Comma 4 6 2 2 2 2" xfId="15629" xr:uid="{9243A39F-7E54-41D7-8C33-14425BC1B891}"/>
    <cellStyle name="Comma 4 6 2 2 3" xfId="11411" xr:uid="{E9FE7DD6-B964-4FC6-8FC2-CBDF98E163B2}"/>
    <cellStyle name="Comma 4 6 2 3" xfId="5045" xr:uid="{00000000-0005-0000-0000-0000570A0000}"/>
    <cellStyle name="Comma 4 6 2 3 2" xfId="13484" xr:uid="{6EA087BB-CC63-400A-9894-8A716A5E5B61}"/>
    <cellStyle name="Comma 4 6 2 4" xfId="9266" xr:uid="{C1E860CF-586E-4FC7-9B80-D71674A42E4D}"/>
    <cellStyle name="Comma 4 6 3" xfId="1149" xr:uid="{00000000-0005-0000-0000-0000580A0000}"/>
    <cellStyle name="Comma 4 6 3 2" xfId="3380" xr:uid="{00000000-0005-0000-0000-0000590A0000}"/>
    <cellStyle name="Comma 4 6 3 2 2" xfId="7603" xr:uid="{00000000-0005-0000-0000-00005A0A0000}"/>
    <cellStyle name="Comma 4 6 3 2 2 2" xfId="16042" xr:uid="{373D112D-3BAD-4B2A-BC0C-D3575920A02D}"/>
    <cellStyle name="Comma 4 6 3 2 3" xfId="11824" xr:uid="{F143722B-ECB2-4A3A-83F6-943502CD29C6}"/>
    <cellStyle name="Comma 4 6 3 3" xfId="5458" xr:uid="{00000000-0005-0000-0000-00005B0A0000}"/>
    <cellStyle name="Comma 4 6 3 3 2" xfId="13897" xr:uid="{EED3EF1E-BFC4-4235-A909-9ABF7B86D572}"/>
    <cellStyle name="Comma 4 6 3 4" xfId="9679" xr:uid="{1F235E5D-6BC6-4488-B4AA-A10F755CE831}"/>
    <cellStyle name="Comma 4 6 4" xfId="1563" xr:uid="{00000000-0005-0000-0000-00005C0A0000}"/>
    <cellStyle name="Comma 4 6 4 2" xfId="3793" xr:uid="{00000000-0005-0000-0000-00005D0A0000}"/>
    <cellStyle name="Comma 4 6 4 2 2" xfId="8016" xr:uid="{00000000-0005-0000-0000-00005E0A0000}"/>
    <cellStyle name="Comma 4 6 4 2 2 2" xfId="16455" xr:uid="{2F1E6EC1-6581-4890-859C-4A2ED6593A89}"/>
    <cellStyle name="Comma 4 6 4 2 3" xfId="12237" xr:uid="{8402471D-2563-40AD-931A-97A89041D059}"/>
    <cellStyle name="Comma 4 6 4 3" xfId="5871" xr:uid="{00000000-0005-0000-0000-00005F0A0000}"/>
    <cellStyle name="Comma 4 6 4 3 2" xfId="14310" xr:uid="{0FA6C93F-31FD-4534-B2AC-12814DDEF41C}"/>
    <cellStyle name="Comma 4 6 4 4" xfId="10092" xr:uid="{828CEA81-4A3E-4D1B-B5EC-4DF983A5BF6D}"/>
    <cellStyle name="Comma 4 6 5" xfId="1977" xr:uid="{00000000-0005-0000-0000-0000600A0000}"/>
    <cellStyle name="Comma 4 6 5 2" xfId="4206" xr:uid="{00000000-0005-0000-0000-0000610A0000}"/>
    <cellStyle name="Comma 4 6 5 2 2" xfId="8429" xr:uid="{00000000-0005-0000-0000-0000620A0000}"/>
    <cellStyle name="Comma 4 6 5 2 2 2" xfId="16868" xr:uid="{6845A5F5-4C75-4AC6-B8EE-EB2AC13B455E}"/>
    <cellStyle name="Comma 4 6 5 2 3" xfId="12650" xr:uid="{EB97595B-3D94-45CB-8E3D-9D7A3D7C4AE8}"/>
    <cellStyle name="Comma 4 6 5 3" xfId="6284" xr:uid="{00000000-0005-0000-0000-0000630A0000}"/>
    <cellStyle name="Comma 4 6 5 3 2" xfId="14723" xr:uid="{CD3F2C78-9552-4884-AF0F-3033608F8B78}"/>
    <cellStyle name="Comma 4 6 5 4" xfId="10505" xr:uid="{B28C2328-2DF8-45E7-8094-3BA3917194C5}"/>
    <cellStyle name="Comma 4 6 6" xfId="2412" xr:uid="{00000000-0005-0000-0000-0000640A0000}"/>
    <cellStyle name="Comma 4 6 6 2" xfId="6697" xr:uid="{00000000-0005-0000-0000-0000650A0000}"/>
    <cellStyle name="Comma 4 6 6 2 2" xfId="15136" xr:uid="{B5688958-19A4-4605-947E-451867E34756}"/>
    <cellStyle name="Comma 4 6 6 3" xfId="10918" xr:uid="{D03309F9-A45F-4357-9CA5-7B78B8AC7795}"/>
    <cellStyle name="Comma 4 6 7" xfId="2708" xr:uid="{00000000-0005-0000-0000-0000660A0000}"/>
    <cellStyle name="Comma 4 6 8" xfId="2790" xr:uid="{00000000-0005-0000-0000-0000670A0000}"/>
    <cellStyle name="Comma 4 6 8 2" xfId="7014" xr:uid="{00000000-0005-0000-0000-0000680A0000}"/>
    <cellStyle name="Comma 4 6 8 2 2" xfId="15453" xr:uid="{CE4EA71C-7028-4112-8D29-E3CFA2785685}"/>
    <cellStyle name="Comma 4 6 8 3" xfId="11235" xr:uid="{D883D2DE-63BF-454F-AE96-3DBF635A9439}"/>
    <cellStyle name="Comma 4 6 9" xfId="4631" xr:uid="{00000000-0005-0000-0000-0000690A0000}"/>
    <cellStyle name="Comma 4 6 9 2" xfId="13070" xr:uid="{FB2B339F-BE4A-4DE3-A3BA-F8740D54C96A}"/>
    <cellStyle name="Comma 4 7" xfId="160" xr:uid="{00000000-0005-0000-0000-00006A0A0000}"/>
    <cellStyle name="Comma 4 7 10" xfId="8853" xr:uid="{B2B2D302-FC6C-4035-BBD0-55259DB0250E}"/>
    <cellStyle name="Comma 4 7 2" xfId="697" xr:uid="{00000000-0005-0000-0000-00006B0A0000}"/>
    <cellStyle name="Comma 4 7 2 2" xfId="2968" xr:uid="{00000000-0005-0000-0000-00006C0A0000}"/>
    <cellStyle name="Comma 4 7 2 2 2" xfId="7191" xr:uid="{00000000-0005-0000-0000-00006D0A0000}"/>
    <cellStyle name="Comma 4 7 2 2 2 2" xfId="15630" xr:uid="{3CB3BFAF-B1F3-4ED5-A7D8-497A272E0E13}"/>
    <cellStyle name="Comma 4 7 2 2 3" xfId="11412" xr:uid="{3A5A35CA-5D48-4845-8237-889A57CD8DAD}"/>
    <cellStyle name="Comma 4 7 2 3" xfId="5046" xr:uid="{00000000-0005-0000-0000-00006E0A0000}"/>
    <cellStyle name="Comma 4 7 2 3 2" xfId="13485" xr:uid="{B9BD2405-A8EA-4BFA-ACB8-1E330F8AAFD4}"/>
    <cellStyle name="Comma 4 7 2 4" xfId="9267" xr:uid="{FD478C16-CDB1-4DB7-AA9D-16E4BFF7B571}"/>
    <cellStyle name="Comma 4 7 3" xfId="1150" xr:uid="{00000000-0005-0000-0000-00006F0A0000}"/>
    <cellStyle name="Comma 4 7 3 2" xfId="3381" xr:uid="{00000000-0005-0000-0000-0000700A0000}"/>
    <cellStyle name="Comma 4 7 3 2 2" xfId="7604" xr:uid="{00000000-0005-0000-0000-0000710A0000}"/>
    <cellStyle name="Comma 4 7 3 2 2 2" xfId="16043" xr:uid="{4E05C8F3-EB45-4A2D-9C75-5C2F37056280}"/>
    <cellStyle name="Comma 4 7 3 2 3" xfId="11825" xr:uid="{E00FFBC1-D02A-4D82-B731-EF2233077778}"/>
    <cellStyle name="Comma 4 7 3 3" xfId="5459" xr:uid="{00000000-0005-0000-0000-0000720A0000}"/>
    <cellStyle name="Comma 4 7 3 3 2" xfId="13898" xr:uid="{1E2A3CD6-C351-4038-91E6-987CA2A75159}"/>
    <cellStyle name="Comma 4 7 3 4" xfId="9680" xr:uid="{6EFBE41F-6A25-4CD0-9557-025F5E76B0AB}"/>
    <cellStyle name="Comma 4 7 4" xfId="1564" xr:uid="{00000000-0005-0000-0000-0000730A0000}"/>
    <cellStyle name="Comma 4 7 4 2" xfId="3794" xr:uid="{00000000-0005-0000-0000-0000740A0000}"/>
    <cellStyle name="Comma 4 7 4 2 2" xfId="8017" xr:uid="{00000000-0005-0000-0000-0000750A0000}"/>
    <cellStyle name="Comma 4 7 4 2 2 2" xfId="16456" xr:uid="{D570CC54-BB2D-4C4D-B36F-BD360148B224}"/>
    <cellStyle name="Comma 4 7 4 2 3" xfId="12238" xr:uid="{9AE5783A-C810-49D4-B76D-CE527AB1FCD5}"/>
    <cellStyle name="Comma 4 7 4 3" xfId="5872" xr:uid="{00000000-0005-0000-0000-0000760A0000}"/>
    <cellStyle name="Comma 4 7 4 3 2" xfId="14311" xr:uid="{95A55D09-A9E8-4626-B914-6EF37ACBFD39}"/>
    <cellStyle name="Comma 4 7 4 4" xfId="10093" xr:uid="{366D636F-335E-48AB-B67D-EC8599658740}"/>
    <cellStyle name="Comma 4 7 5" xfId="1978" xr:uid="{00000000-0005-0000-0000-0000770A0000}"/>
    <cellStyle name="Comma 4 7 5 2" xfId="4207" xr:uid="{00000000-0005-0000-0000-0000780A0000}"/>
    <cellStyle name="Comma 4 7 5 2 2" xfId="8430" xr:uid="{00000000-0005-0000-0000-0000790A0000}"/>
    <cellStyle name="Comma 4 7 5 2 2 2" xfId="16869" xr:uid="{E5EE2AD3-A2BB-4A67-86E5-D9E4731F15C4}"/>
    <cellStyle name="Comma 4 7 5 2 3" xfId="12651" xr:uid="{5652761C-952B-4630-BCBA-4D3C3C23FA84}"/>
    <cellStyle name="Comma 4 7 5 3" xfId="6285" xr:uid="{00000000-0005-0000-0000-00007A0A0000}"/>
    <cellStyle name="Comma 4 7 5 3 2" xfId="14724" xr:uid="{AC887345-777A-492E-BCF5-815D40F9EBA0}"/>
    <cellStyle name="Comma 4 7 5 4" xfId="10506" xr:uid="{989D9770-C641-4072-AE52-7A73FE9A5D71}"/>
    <cellStyle name="Comma 4 7 6" xfId="2413" xr:uid="{00000000-0005-0000-0000-00007B0A0000}"/>
    <cellStyle name="Comma 4 7 6 2" xfId="6698" xr:uid="{00000000-0005-0000-0000-00007C0A0000}"/>
    <cellStyle name="Comma 4 7 6 2 2" xfId="15137" xr:uid="{A6023C1C-6973-4218-9DE4-A905B870E16C}"/>
    <cellStyle name="Comma 4 7 6 3" xfId="10919" xr:uid="{27A7BE92-B7BB-44CC-9E2A-C88B2FC7ED41}"/>
    <cellStyle name="Comma 4 7 7" xfId="2709" xr:uid="{00000000-0005-0000-0000-00007D0A0000}"/>
    <cellStyle name="Comma 4 7 8" xfId="2791" xr:uid="{00000000-0005-0000-0000-00007E0A0000}"/>
    <cellStyle name="Comma 4 7 8 2" xfId="7015" xr:uid="{00000000-0005-0000-0000-00007F0A0000}"/>
    <cellStyle name="Comma 4 7 8 2 2" xfId="15454" xr:uid="{99FA5E6F-23FF-4091-B40B-171ACDD9DAE8}"/>
    <cellStyle name="Comma 4 7 8 3" xfId="11236" xr:uid="{BC6DE256-A4A1-4AB7-959F-59A523494761}"/>
    <cellStyle name="Comma 4 7 9" xfId="4632" xr:uid="{00000000-0005-0000-0000-0000800A0000}"/>
    <cellStyle name="Comma 4 7 9 2" xfId="13071" xr:uid="{21599308-ABDB-4631-8138-1291E3420755}"/>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39" xr:uid="{E5F96F6E-A746-4F15-9AB4-F7868AE2C665}"/>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17156" xr:uid="{5477207C-A9AE-42E8-A935-635AD6E63359}"/>
    <cellStyle name="Currency 14 3" xfId="8720" xr:uid="{729B09A7-2394-4D7C-912C-1471FB3455A3}"/>
    <cellStyle name="Currency 14 3 2" xfId="8724" xr:uid="{1945FB0F-31EC-4D98-B64C-BAFBADA341A1}"/>
    <cellStyle name="Currency 14 3 2 2" xfId="17162" xr:uid="{440A497D-100D-4B6D-BFBA-E1221F3A5165}"/>
    <cellStyle name="Currency 14 3 3" xfId="17159" xr:uid="{0625F027-A4E8-4703-9D2E-51852BA13298}"/>
    <cellStyle name="Currency 14 4" xfId="12942" xr:uid="{D04D711B-E829-408E-A742-5AB41A1703D8}"/>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15455" xr:uid="{B23F3E32-02C6-48E3-A840-1DC5ED0E4195}"/>
    <cellStyle name="Currency 3 2 2 10 3" xfId="11237" xr:uid="{D0964807-B2F6-4355-A472-182E5A002CAE}"/>
    <cellStyle name="Currency 3 2 2 11" xfId="4633" xr:uid="{00000000-0005-0000-0000-0000A50A0000}"/>
    <cellStyle name="Currency 3 2 2 11 2" xfId="13072" xr:uid="{28F901A0-3E8E-48FC-AE1E-02E295A69163}"/>
    <cellStyle name="Currency 3 2 2 12" xfId="8854" xr:uid="{19A4AF06-46CA-4BD3-B5D7-F98A87065B59}"/>
    <cellStyle name="Currency 3 2 2 2" xfId="179" xr:uid="{00000000-0005-0000-0000-0000A60A0000}"/>
    <cellStyle name="Currency 3 2 2 2 10" xfId="4634" xr:uid="{00000000-0005-0000-0000-0000A70A0000}"/>
    <cellStyle name="Currency 3 2 2 2 10 2" xfId="13073" xr:uid="{2FB09B65-80A5-488D-BBDC-BBBCCC5CD0AD}"/>
    <cellStyle name="Currency 3 2 2 2 11" xfId="8855" xr:uid="{55B455CB-4D67-4212-A18D-6A1080C24D19}"/>
    <cellStyle name="Currency 3 2 2 2 2" xfId="180" xr:uid="{00000000-0005-0000-0000-0000A80A0000}"/>
    <cellStyle name="Currency 3 2 2 2 2 10" xfId="8856" xr:uid="{A1AD8E02-7CD2-4FCB-AA25-6AB919518667}"/>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5633" xr:uid="{56F7F162-C0F6-4D06-89EA-809A147B4114}"/>
    <cellStyle name="Currency 3 2 2 2 2 2 2 3" xfId="11415" xr:uid="{B10F0CCB-D193-440B-9B15-990CD711B27A}"/>
    <cellStyle name="Currency 3 2 2 2 2 2 3" xfId="5049" xr:uid="{00000000-0005-0000-0000-0000AC0A0000}"/>
    <cellStyle name="Currency 3 2 2 2 2 2 3 2" xfId="13488" xr:uid="{FC917E8C-433B-480A-9278-A602C681B233}"/>
    <cellStyle name="Currency 3 2 2 2 2 2 4" xfId="9270" xr:uid="{E0D1B276-071F-45CD-A196-D13B8CC0E81A}"/>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16046" xr:uid="{61072E57-D4FA-45EC-B52F-EFB0D16B5EF5}"/>
    <cellStyle name="Currency 3 2 2 2 2 3 2 3" xfId="11828" xr:uid="{166B4BF6-D6BB-497F-B70D-F99507D34A23}"/>
    <cellStyle name="Currency 3 2 2 2 2 3 3" xfId="5462" xr:uid="{00000000-0005-0000-0000-0000B00A0000}"/>
    <cellStyle name="Currency 3 2 2 2 2 3 3 2" xfId="13901" xr:uid="{4394CE5C-9803-47B0-899C-C1CB78EA15B2}"/>
    <cellStyle name="Currency 3 2 2 2 2 3 4" xfId="9683" xr:uid="{2485CE87-4E19-4B2F-8E5A-52F976EE2A5F}"/>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16459" xr:uid="{FBB160D1-B6E6-4AC6-B7B7-25D0CAD9873E}"/>
    <cellStyle name="Currency 3 2 2 2 2 4 2 3" xfId="12241" xr:uid="{6B15DCB7-6B61-4C82-B166-D3DDECEEF5AF}"/>
    <cellStyle name="Currency 3 2 2 2 2 4 3" xfId="5875" xr:uid="{00000000-0005-0000-0000-0000B40A0000}"/>
    <cellStyle name="Currency 3 2 2 2 2 4 3 2" xfId="14314" xr:uid="{8ECB04B2-D9B1-4221-A68D-4C8FABDBF06B}"/>
    <cellStyle name="Currency 3 2 2 2 2 4 4" xfId="10096" xr:uid="{A69CB4FA-8E84-4BFD-8234-0EED0B3057AF}"/>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16872" xr:uid="{DFEFB522-E26E-48B8-AC28-21F32E643A16}"/>
    <cellStyle name="Currency 3 2 2 2 2 5 2 3" xfId="12654" xr:uid="{665CDBD5-EEA3-4598-B3B2-7AE1AE454533}"/>
    <cellStyle name="Currency 3 2 2 2 2 5 3" xfId="6288" xr:uid="{00000000-0005-0000-0000-0000B80A0000}"/>
    <cellStyle name="Currency 3 2 2 2 2 5 3 2" xfId="14727" xr:uid="{8CDEFA09-5D3A-4E5F-9E23-8B32A1599917}"/>
    <cellStyle name="Currency 3 2 2 2 2 5 4" xfId="10509" xr:uid="{9D53638E-5F17-46D9-9711-18EA121781FC}"/>
    <cellStyle name="Currency 3 2 2 2 2 6" xfId="2416" xr:uid="{00000000-0005-0000-0000-0000B90A0000}"/>
    <cellStyle name="Currency 3 2 2 2 2 6 2" xfId="6701" xr:uid="{00000000-0005-0000-0000-0000BA0A0000}"/>
    <cellStyle name="Currency 3 2 2 2 2 6 2 2" xfId="15140" xr:uid="{A03C6FEE-D881-4A83-A0F4-CB9C9F6EB57E}"/>
    <cellStyle name="Currency 3 2 2 2 2 6 3" xfId="10922" xr:uid="{D746DF5E-5AA4-419E-AB0E-E5A580D881C4}"/>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15457" xr:uid="{3C4AE18A-3432-45E6-9B86-049DA677119B}"/>
    <cellStyle name="Currency 3 2 2 2 2 8 3" xfId="11239" xr:uid="{0DBAE927-77D9-41B8-A49E-1EDB5D9C43AB}"/>
    <cellStyle name="Currency 3 2 2 2 2 9" xfId="4635" xr:uid="{00000000-0005-0000-0000-0000BE0A0000}"/>
    <cellStyle name="Currency 3 2 2 2 2 9 2" xfId="13074" xr:uid="{992EC45D-2B0F-41E6-AF2E-FD7D0B38531D}"/>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5632" xr:uid="{31B60A06-CFB5-420F-98B7-702C545B76A5}"/>
    <cellStyle name="Currency 3 2 2 2 3 2 3" xfId="11414" xr:uid="{68DA53CF-F5FF-447D-A27F-29493879C46F}"/>
    <cellStyle name="Currency 3 2 2 2 3 3" xfId="5048" xr:uid="{00000000-0005-0000-0000-0000C20A0000}"/>
    <cellStyle name="Currency 3 2 2 2 3 3 2" xfId="13487" xr:uid="{3D859A80-3CF3-447D-9BF0-3B8DDF82C22D}"/>
    <cellStyle name="Currency 3 2 2 2 3 4" xfId="9269" xr:uid="{A4313F5B-26A0-42E2-B4AD-7D73577A581D}"/>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16045" xr:uid="{DCEB93EC-D6A8-4756-B0B9-C420508403E2}"/>
    <cellStyle name="Currency 3 2 2 2 4 2 3" xfId="11827" xr:uid="{7AFD757D-900E-4706-878A-D4A375B4C9AF}"/>
    <cellStyle name="Currency 3 2 2 2 4 3" xfId="5461" xr:uid="{00000000-0005-0000-0000-0000C60A0000}"/>
    <cellStyle name="Currency 3 2 2 2 4 3 2" xfId="13900" xr:uid="{659EC060-EA61-4790-8E91-CB2BE179F918}"/>
    <cellStyle name="Currency 3 2 2 2 4 4" xfId="9682" xr:uid="{F9B9690E-1F98-4B13-B494-2104CBDFCFCD}"/>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16458" xr:uid="{A8C9F8F9-7E17-4E09-8EA4-7DA017A7B3A5}"/>
    <cellStyle name="Currency 3 2 2 2 5 2 3" xfId="12240" xr:uid="{CD20B4C5-2999-408B-A92D-59CB3D0C57E7}"/>
    <cellStyle name="Currency 3 2 2 2 5 3" xfId="5874" xr:uid="{00000000-0005-0000-0000-0000CA0A0000}"/>
    <cellStyle name="Currency 3 2 2 2 5 3 2" xfId="14313" xr:uid="{FA18A272-EBDC-484D-A508-29A8B25A011C}"/>
    <cellStyle name="Currency 3 2 2 2 5 4" xfId="10095" xr:uid="{CCFF0702-5A17-4239-B013-0219784A9821}"/>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16871" xr:uid="{E905363F-2F37-4BE9-9721-012F4C8366CC}"/>
    <cellStyle name="Currency 3 2 2 2 6 2 3" xfId="12653" xr:uid="{824229D1-8B31-4C4B-8902-6515BAF0902A}"/>
    <cellStyle name="Currency 3 2 2 2 6 3" xfId="6287" xr:uid="{00000000-0005-0000-0000-0000CE0A0000}"/>
    <cellStyle name="Currency 3 2 2 2 6 3 2" xfId="14726" xr:uid="{E50534FA-D282-4EC1-A86B-F2D64DD0BBD8}"/>
    <cellStyle name="Currency 3 2 2 2 6 4" xfId="10508" xr:uid="{533BAF0B-BD2E-4CCA-9D85-25B52AE72218}"/>
    <cellStyle name="Currency 3 2 2 2 7" xfId="2415" xr:uid="{00000000-0005-0000-0000-0000CF0A0000}"/>
    <cellStyle name="Currency 3 2 2 2 7 2" xfId="6700" xr:uid="{00000000-0005-0000-0000-0000D00A0000}"/>
    <cellStyle name="Currency 3 2 2 2 7 2 2" xfId="15139" xr:uid="{E27C6D13-8146-41F8-B51C-A446593FD779}"/>
    <cellStyle name="Currency 3 2 2 2 7 3" xfId="10921" xr:uid="{178DE771-806D-409C-BEDC-2EB3A964EAD9}"/>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15456" xr:uid="{FF9D5B47-E6C8-4C74-ADBB-1A53DF44E25C}"/>
    <cellStyle name="Currency 3 2 2 2 9 3" xfId="11238" xr:uid="{08EAFB0E-3B89-41D5-B099-574A77603955}"/>
    <cellStyle name="Currency 3 2 2 3" xfId="181" xr:uid="{00000000-0005-0000-0000-0000D40A0000}"/>
    <cellStyle name="Currency 3 2 2 3 10" xfId="8857" xr:uid="{46E6B0D1-4A14-460F-A9C8-4476C292AFD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5634" xr:uid="{A88323C8-00C8-4BA7-98BA-110FBA4EC6C0}"/>
    <cellStyle name="Currency 3 2 2 3 2 2 3" xfId="11416" xr:uid="{C968F8D8-5A37-474A-B55C-50606C5E7A38}"/>
    <cellStyle name="Currency 3 2 2 3 2 3" xfId="5050" xr:uid="{00000000-0005-0000-0000-0000D80A0000}"/>
    <cellStyle name="Currency 3 2 2 3 2 3 2" xfId="13489" xr:uid="{2F290AF5-FF17-43E7-9CDB-0B01CA2D6BE3}"/>
    <cellStyle name="Currency 3 2 2 3 2 4" xfId="9271" xr:uid="{E11B123E-55E6-475C-9681-184C0E66822E}"/>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16047" xr:uid="{95D610FE-FC30-4BCF-B483-EB76AD005179}"/>
    <cellStyle name="Currency 3 2 2 3 3 2 3" xfId="11829" xr:uid="{58F05A93-F949-4836-A712-1FDD82721E80}"/>
    <cellStyle name="Currency 3 2 2 3 3 3" xfId="5463" xr:uid="{00000000-0005-0000-0000-0000DC0A0000}"/>
    <cellStyle name="Currency 3 2 2 3 3 3 2" xfId="13902" xr:uid="{FD593A97-91BB-4B13-BBE0-047A9ECCD5EC}"/>
    <cellStyle name="Currency 3 2 2 3 3 4" xfId="9684" xr:uid="{1B9159A0-D93C-4691-B9AD-336959013C29}"/>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16460" xr:uid="{E82543C1-DF2E-404E-B368-20F64B8D7379}"/>
    <cellStyle name="Currency 3 2 2 3 4 2 3" xfId="12242" xr:uid="{3C945491-DC1B-4ABC-B482-1173E643CA75}"/>
    <cellStyle name="Currency 3 2 2 3 4 3" xfId="5876" xr:uid="{00000000-0005-0000-0000-0000E00A0000}"/>
    <cellStyle name="Currency 3 2 2 3 4 3 2" xfId="14315" xr:uid="{48EE8391-53F0-4D52-8B1E-766E1D6996E3}"/>
    <cellStyle name="Currency 3 2 2 3 4 4" xfId="10097" xr:uid="{A6F14FAA-3A2F-473F-9172-6EBAE9A88785}"/>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16873" xr:uid="{9C244D77-0F6A-4516-8448-95AA6F973428}"/>
    <cellStyle name="Currency 3 2 2 3 5 2 3" xfId="12655" xr:uid="{A7B56A62-F3C1-4DC0-B7A7-FA058E92AA7B}"/>
    <cellStyle name="Currency 3 2 2 3 5 3" xfId="6289" xr:uid="{00000000-0005-0000-0000-0000E40A0000}"/>
    <cellStyle name="Currency 3 2 2 3 5 3 2" xfId="14728" xr:uid="{ECC6E130-63FE-47C0-B41B-D97A16C41822}"/>
    <cellStyle name="Currency 3 2 2 3 5 4" xfId="10510" xr:uid="{0360B789-CD7F-498A-8544-39D8184D48CE}"/>
    <cellStyle name="Currency 3 2 2 3 6" xfId="2417" xr:uid="{00000000-0005-0000-0000-0000E50A0000}"/>
    <cellStyle name="Currency 3 2 2 3 6 2" xfId="6702" xr:uid="{00000000-0005-0000-0000-0000E60A0000}"/>
    <cellStyle name="Currency 3 2 2 3 6 2 2" xfId="15141" xr:uid="{1990ADD9-DFDF-4A5C-950E-99B132FFE6E6}"/>
    <cellStyle name="Currency 3 2 2 3 6 3" xfId="10923" xr:uid="{2C9FE820-1CC4-4B1C-97BC-AD9BDB0EC749}"/>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15458" xr:uid="{7A52650C-4C9F-4726-BD89-110DC5F714A9}"/>
    <cellStyle name="Currency 3 2 2 3 8 3" xfId="11240" xr:uid="{FE389251-CAC6-4265-840F-A7123097C2AF}"/>
    <cellStyle name="Currency 3 2 2 3 9" xfId="4636" xr:uid="{00000000-0005-0000-0000-0000EA0A0000}"/>
    <cellStyle name="Currency 3 2 2 3 9 2" xfId="13075" xr:uid="{0075C25D-8B2F-4310-961E-C1BF679DD68E}"/>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5631" xr:uid="{2A192602-D19B-4B04-9D63-C82327F628E7}"/>
    <cellStyle name="Currency 3 2 2 4 2 3" xfId="11413" xr:uid="{16AA2CB5-DC74-40B1-B91E-24E99E95218E}"/>
    <cellStyle name="Currency 3 2 2 4 3" xfId="5047" xr:uid="{00000000-0005-0000-0000-0000EE0A0000}"/>
    <cellStyle name="Currency 3 2 2 4 3 2" xfId="13486" xr:uid="{35F80A1F-0056-4D88-BC68-1C4735B65A3B}"/>
    <cellStyle name="Currency 3 2 2 4 4" xfId="9268" xr:uid="{7FC89801-0348-480A-8CC3-581D1E0C4699}"/>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16044" xr:uid="{523B6305-CA4D-416B-AB89-E2578986F6B4}"/>
    <cellStyle name="Currency 3 2 2 5 2 3" xfId="11826" xr:uid="{5546B039-B7F7-440D-BDAD-677F220468A0}"/>
    <cellStyle name="Currency 3 2 2 5 3" xfId="5460" xr:uid="{00000000-0005-0000-0000-0000F20A0000}"/>
    <cellStyle name="Currency 3 2 2 5 3 2" xfId="13899" xr:uid="{C6B31E34-767C-45C5-86D6-5BEB20B72793}"/>
    <cellStyle name="Currency 3 2 2 5 4" xfId="9681" xr:uid="{A261A477-ECD8-47AD-8C18-ECA058702FDF}"/>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16457" xr:uid="{CFE6CFFF-F758-451E-9281-4CE6535D9999}"/>
    <cellStyle name="Currency 3 2 2 6 2 3" xfId="12239" xr:uid="{C9A4242C-538A-4C05-B505-044E00A3BD4C}"/>
    <cellStyle name="Currency 3 2 2 6 3" xfId="5873" xr:uid="{00000000-0005-0000-0000-0000F60A0000}"/>
    <cellStyle name="Currency 3 2 2 6 3 2" xfId="14312" xr:uid="{65D5FB72-DE9F-4FFB-8261-9392E9EF94F4}"/>
    <cellStyle name="Currency 3 2 2 6 4" xfId="10094" xr:uid="{BA39538D-2B60-4440-8767-E5DB8E845866}"/>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16870" xr:uid="{070F259F-F03E-4757-AC03-C10748E6B492}"/>
    <cellStyle name="Currency 3 2 2 7 2 3" xfId="12652" xr:uid="{EE53EBA8-5F33-4BAF-ACD2-E7722E1FC584}"/>
    <cellStyle name="Currency 3 2 2 7 3" xfId="6286" xr:uid="{00000000-0005-0000-0000-0000FA0A0000}"/>
    <cellStyle name="Currency 3 2 2 7 3 2" xfId="14725" xr:uid="{BDD7C749-D60C-4C02-95F9-3FBAE80B5E32}"/>
    <cellStyle name="Currency 3 2 2 7 4" xfId="10507" xr:uid="{476C6590-B4F3-4553-9907-F933809EB0FF}"/>
    <cellStyle name="Currency 3 2 2 8" xfId="2414" xr:uid="{00000000-0005-0000-0000-0000FB0A0000}"/>
    <cellStyle name="Currency 3 2 2 8 2" xfId="6699" xr:uid="{00000000-0005-0000-0000-0000FC0A0000}"/>
    <cellStyle name="Currency 3 2 2 8 2 2" xfId="15138" xr:uid="{76BA883E-21AF-4A24-881F-E2F59E926B58}"/>
    <cellStyle name="Currency 3 2 2 8 3" xfId="10920" xr:uid="{B58C6FE1-A909-4080-A15E-9DD3D4723FF8}"/>
    <cellStyle name="Currency 3 2 2 9" xfId="2711" xr:uid="{00000000-0005-0000-0000-0000FD0A0000}"/>
    <cellStyle name="Currency 3 2 3" xfId="182" xr:uid="{00000000-0005-0000-0000-0000FE0A0000}"/>
    <cellStyle name="Currency 3 2 3 10" xfId="4637" xr:uid="{00000000-0005-0000-0000-0000FF0A0000}"/>
    <cellStyle name="Currency 3 2 3 10 2" xfId="13076" xr:uid="{9300D1A3-FADE-4DC7-96CC-DC5958DA7DAE}"/>
    <cellStyle name="Currency 3 2 3 11" xfId="8858" xr:uid="{8EAB6D10-3B37-47FA-BB1C-E342BA4B8536}"/>
    <cellStyle name="Currency 3 2 3 2" xfId="183" xr:uid="{00000000-0005-0000-0000-0000000B0000}"/>
    <cellStyle name="Currency 3 2 3 2 10" xfId="8859" xr:uid="{FA9CBCC1-5A2D-431A-893F-E378D69DFDDA}"/>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5636" xr:uid="{86334AAF-1A74-4665-B293-721651D75660}"/>
    <cellStyle name="Currency 3 2 3 2 2 2 3" xfId="11418" xr:uid="{4F873D5D-348E-4A2E-96CA-B75F150D4992}"/>
    <cellStyle name="Currency 3 2 3 2 2 3" xfId="5052" xr:uid="{00000000-0005-0000-0000-0000040B0000}"/>
    <cellStyle name="Currency 3 2 3 2 2 3 2" xfId="13491" xr:uid="{5448BA86-7360-4CA5-BECE-18714440A6FD}"/>
    <cellStyle name="Currency 3 2 3 2 2 4" xfId="9273" xr:uid="{713B4243-7456-43EC-A940-28E611BC751A}"/>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16049" xr:uid="{D4BD8130-09E8-4D93-861E-C3BE83A6A963}"/>
    <cellStyle name="Currency 3 2 3 2 3 2 3" xfId="11831" xr:uid="{DEFB07B5-E84A-4B6B-BA2A-661DFBBD1182}"/>
    <cellStyle name="Currency 3 2 3 2 3 3" xfId="5465" xr:uid="{00000000-0005-0000-0000-0000080B0000}"/>
    <cellStyle name="Currency 3 2 3 2 3 3 2" xfId="13904" xr:uid="{E3908076-F6BA-44A7-9B12-49C1C3611716}"/>
    <cellStyle name="Currency 3 2 3 2 3 4" xfId="9686" xr:uid="{25867FCB-9679-44B3-AF3C-95EF7C061F84}"/>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16462" xr:uid="{B0A5C554-C72A-4657-B4E5-F2770FFA20E8}"/>
    <cellStyle name="Currency 3 2 3 2 4 2 3" xfId="12244" xr:uid="{C432D4D3-8925-45BA-8276-3AF193D98382}"/>
    <cellStyle name="Currency 3 2 3 2 4 3" xfId="5878" xr:uid="{00000000-0005-0000-0000-00000C0B0000}"/>
    <cellStyle name="Currency 3 2 3 2 4 3 2" xfId="14317" xr:uid="{A99400BC-0BC8-4F59-B4A8-AE99E6A53302}"/>
    <cellStyle name="Currency 3 2 3 2 4 4" xfId="10099" xr:uid="{B7369F26-1505-46A8-9657-C817C5D44762}"/>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16875" xr:uid="{F0CE71E6-89AA-4756-9C06-2A6B4209FBF2}"/>
    <cellStyle name="Currency 3 2 3 2 5 2 3" xfId="12657" xr:uid="{A0C9C8EC-19BC-4DD1-8D59-FCAD4B86E65A}"/>
    <cellStyle name="Currency 3 2 3 2 5 3" xfId="6291" xr:uid="{00000000-0005-0000-0000-0000100B0000}"/>
    <cellStyle name="Currency 3 2 3 2 5 3 2" xfId="14730" xr:uid="{C7C32915-21B6-422D-BCA2-4B37B13F433E}"/>
    <cellStyle name="Currency 3 2 3 2 5 4" xfId="10512" xr:uid="{234DC8AD-8AD2-40D9-9EA7-BC101B2F1B8B}"/>
    <cellStyle name="Currency 3 2 3 2 6" xfId="2419" xr:uid="{00000000-0005-0000-0000-0000110B0000}"/>
    <cellStyle name="Currency 3 2 3 2 6 2" xfId="6704" xr:uid="{00000000-0005-0000-0000-0000120B0000}"/>
    <cellStyle name="Currency 3 2 3 2 6 2 2" xfId="15143" xr:uid="{4C836066-917F-4DAA-B400-78A8232AE090}"/>
    <cellStyle name="Currency 3 2 3 2 6 3" xfId="10925" xr:uid="{0B0C533F-3A20-4749-8D9F-C8F15160A1E7}"/>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15460" xr:uid="{F0365F3C-180D-4E85-A855-B6E187C3596C}"/>
    <cellStyle name="Currency 3 2 3 2 8 3" xfId="11242" xr:uid="{FE2093AB-8878-4EA5-AC11-F45C1B273375}"/>
    <cellStyle name="Currency 3 2 3 2 9" xfId="4638" xr:uid="{00000000-0005-0000-0000-0000160B0000}"/>
    <cellStyle name="Currency 3 2 3 2 9 2" xfId="13077" xr:uid="{9080F4E8-F8DB-410E-9A09-CB3896A3B680}"/>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5635" xr:uid="{19705E9D-E049-45F2-8524-7F29C54674A2}"/>
    <cellStyle name="Currency 3 2 3 3 2 3" xfId="11417" xr:uid="{AC9B8FDB-35D6-4151-8D30-72F02F57C3A3}"/>
    <cellStyle name="Currency 3 2 3 3 3" xfId="5051" xr:uid="{00000000-0005-0000-0000-00001A0B0000}"/>
    <cellStyle name="Currency 3 2 3 3 3 2" xfId="13490" xr:uid="{51436E51-1A08-43E5-829F-CE474F253985}"/>
    <cellStyle name="Currency 3 2 3 3 4" xfId="9272" xr:uid="{72313C26-BD3F-4B39-95CB-81A309C85163}"/>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16048" xr:uid="{1AEF25A4-6B0C-4802-9872-92BAB60E52A7}"/>
    <cellStyle name="Currency 3 2 3 4 2 3" xfId="11830" xr:uid="{6F7EA223-420F-4498-ADF9-BDA4D0916B4C}"/>
    <cellStyle name="Currency 3 2 3 4 3" xfId="5464" xr:uid="{00000000-0005-0000-0000-00001E0B0000}"/>
    <cellStyle name="Currency 3 2 3 4 3 2" xfId="13903" xr:uid="{C4021BDB-0118-4FBC-8A16-841E65E71D26}"/>
    <cellStyle name="Currency 3 2 3 4 4" xfId="9685" xr:uid="{A2FD0BC4-B847-4FAB-A8FF-D60A3E19F738}"/>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16461" xr:uid="{1FE04651-D799-40F9-AC44-2CFB819F4550}"/>
    <cellStyle name="Currency 3 2 3 5 2 3" xfId="12243" xr:uid="{11BC4EC5-0E59-434F-BD6A-6A4D3C89DB59}"/>
    <cellStyle name="Currency 3 2 3 5 3" xfId="5877" xr:uid="{00000000-0005-0000-0000-0000220B0000}"/>
    <cellStyle name="Currency 3 2 3 5 3 2" xfId="14316" xr:uid="{C5BD7025-F088-4422-9BF9-C8F0409572AC}"/>
    <cellStyle name="Currency 3 2 3 5 4" xfId="10098" xr:uid="{44B51D94-8AFC-4CBD-89F5-4D8038CEC329}"/>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16874" xr:uid="{89AC660E-1C3C-4DB5-B1DF-4E0F72277E0A}"/>
    <cellStyle name="Currency 3 2 3 6 2 3" xfId="12656" xr:uid="{BA5C1B3C-5F6C-4C92-9D66-B80EBD38EDE5}"/>
    <cellStyle name="Currency 3 2 3 6 3" xfId="6290" xr:uid="{00000000-0005-0000-0000-0000260B0000}"/>
    <cellStyle name="Currency 3 2 3 6 3 2" xfId="14729" xr:uid="{80911383-A83E-494E-AA4A-328464DE10BC}"/>
    <cellStyle name="Currency 3 2 3 6 4" xfId="10511" xr:uid="{15073354-3E73-4767-870A-76C065C85EE3}"/>
    <cellStyle name="Currency 3 2 3 7" xfId="2418" xr:uid="{00000000-0005-0000-0000-0000270B0000}"/>
    <cellStyle name="Currency 3 2 3 7 2" xfId="6703" xr:uid="{00000000-0005-0000-0000-0000280B0000}"/>
    <cellStyle name="Currency 3 2 3 7 2 2" xfId="15142" xr:uid="{D8B7987A-B1E3-4A1A-8829-6A94ECE0C623}"/>
    <cellStyle name="Currency 3 2 3 7 3" xfId="10924" xr:uid="{F274975E-083F-4051-A9BE-3F909BAAB344}"/>
    <cellStyle name="Currency 3 2 3 8" xfId="2715" xr:uid="{00000000-0005-0000-0000-0000290B0000}"/>
    <cellStyle name="Currency 3 2 3 9" xfId="2796" xr:uid="{00000000-0005-0000-0000-00002A0B0000}"/>
    <cellStyle name="Currency 3 2 3 9 2" xfId="7020" xr:uid="{00000000-0005-0000-0000-00002B0B0000}"/>
    <cellStyle name="Currency 3 2 3 9 2 2" xfId="15459" xr:uid="{5072D1D3-5887-46AD-BC16-4CD3CEA73700}"/>
    <cellStyle name="Currency 3 2 3 9 3" xfId="11241" xr:uid="{6BE7D04B-B0DA-477E-BC9B-82BC8ABAC2E7}"/>
    <cellStyle name="Currency 3 2 4" xfId="184" xr:uid="{00000000-0005-0000-0000-00002C0B0000}"/>
    <cellStyle name="Currency 3 2 4 10" xfId="8860" xr:uid="{ACF4327D-A2B0-4F81-8EB1-98BD627D8534}"/>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5637" xr:uid="{41F05A3F-4C3A-47DE-9B19-0354C51EB1C7}"/>
    <cellStyle name="Currency 3 2 4 2 2 3" xfId="11419" xr:uid="{33C3ECB0-7086-42D8-949D-83FE6CC0EB83}"/>
    <cellStyle name="Currency 3 2 4 2 3" xfId="5053" xr:uid="{00000000-0005-0000-0000-0000300B0000}"/>
    <cellStyle name="Currency 3 2 4 2 3 2" xfId="13492" xr:uid="{A6B1106D-673D-4414-875C-B97816E40906}"/>
    <cellStyle name="Currency 3 2 4 2 4" xfId="9274" xr:uid="{BD13356D-EAED-4F36-B096-CD9A57F4AEB4}"/>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16050" xr:uid="{4458D931-5F62-440D-9AEF-96C3117752A4}"/>
    <cellStyle name="Currency 3 2 4 3 2 3" xfId="11832" xr:uid="{91593F20-EFC4-40D9-A99D-99EDE1D79054}"/>
    <cellStyle name="Currency 3 2 4 3 3" xfId="5466" xr:uid="{00000000-0005-0000-0000-0000340B0000}"/>
    <cellStyle name="Currency 3 2 4 3 3 2" xfId="13905" xr:uid="{86E750C9-B8BE-4C11-9CD7-CAEF2FD96C03}"/>
    <cellStyle name="Currency 3 2 4 3 4" xfId="9687" xr:uid="{EE386308-500E-4130-958D-967E369ABC01}"/>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16463" xr:uid="{A8FD323E-9D35-4E51-95DF-0541E10E2FD0}"/>
    <cellStyle name="Currency 3 2 4 4 2 3" xfId="12245" xr:uid="{8445482C-BA18-4413-9B22-6CAE2BAB6F19}"/>
    <cellStyle name="Currency 3 2 4 4 3" xfId="5879" xr:uid="{00000000-0005-0000-0000-0000380B0000}"/>
    <cellStyle name="Currency 3 2 4 4 3 2" xfId="14318" xr:uid="{9BCA8CBA-ED9B-4907-A552-9DF2DA64B910}"/>
    <cellStyle name="Currency 3 2 4 4 4" xfId="10100" xr:uid="{B66C1120-47A6-414F-BB7F-B58A1953A96C}"/>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16876" xr:uid="{4C4920B6-4F06-4715-A240-BC0C38DDA5E7}"/>
    <cellStyle name="Currency 3 2 4 5 2 3" xfId="12658" xr:uid="{DD3FE4C7-8A7C-44CE-A2BB-21C907A735C3}"/>
    <cellStyle name="Currency 3 2 4 5 3" xfId="6292" xr:uid="{00000000-0005-0000-0000-00003C0B0000}"/>
    <cellStyle name="Currency 3 2 4 5 3 2" xfId="14731" xr:uid="{795B2A72-2DF5-47FF-B162-4FDA7F2FB524}"/>
    <cellStyle name="Currency 3 2 4 5 4" xfId="10513" xr:uid="{2DA3EDFD-EBC4-4E4B-AB29-6FED82B09514}"/>
    <cellStyle name="Currency 3 2 4 6" xfId="2420" xr:uid="{00000000-0005-0000-0000-00003D0B0000}"/>
    <cellStyle name="Currency 3 2 4 6 2" xfId="6705" xr:uid="{00000000-0005-0000-0000-00003E0B0000}"/>
    <cellStyle name="Currency 3 2 4 6 2 2" xfId="15144" xr:uid="{3CBF244E-F6FF-49CE-BF9F-06593C34412D}"/>
    <cellStyle name="Currency 3 2 4 6 3" xfId="10926" xr:uid="{8E368BAF-C21C-4877-B700-1AF3BA4F70F7}"/>
    <cellStyle name="Currency 3 2 4 7" xfId="2717" xr:uid="{00000000-0005-0000-0000-00003F0B0000}"/>
    <cellStyle name="Currency 3 2 4 8" xfId="2798" xr:uid="{00000000-0005-0000-0000-0000400B0000}"/>
    <cellStyle name="Currency 3 2 4 8 2" xfId="7022" xr:uid="{00000000-0005-0000-0000-0000410B0000}"/>
    <cellStyle name="Currency 3 2 4 8 2 2" xfId="15461" xr:uid="{B7C4C0C2-0CB7-4928-8E58-C2E663EBC503}"/>
    <cellStyle name="Currency 3 2 4 8 3" xfId="11243" xr:uid="{44E42096-C8D4-451B-9707-0C8521B53FAF}"/>
    <cellStyle name="Currency 3 2 4 9" xfId="4639" xr:uid="{00000000-0005-0000-0000-0000420B0000}"/>
    <cellStyle name="Currency 3 2 4 9 2" xfId="13078" xr:uid="{4C914E57-307F-41FE-B7E8-E648F016DB2B}"/>
    <cellStyle name="Currency 3 2 5" xfId="185" xr:uid="{00000000-0005-0000-0000-0000430B0000}"/>
    <cellStyle name="Currency 3 2 5 10" xfId="8861" xr:uid="{202DB71E-14E1-41D3-A644-3CE5062C4370}"/>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5638" xr:uid="{33711D83-9D70-47A0-A08E-715DBF5A815D}"/>
    <cellStyle name="Currency 3 2 5 2 2 3" xfId="11420" xr:uid="{89275A2A-40DC-4C4B-BE8B-D1EF7985E895}"/>
    <cellStyle name="Currency 3 2 5 2 3" xfId="5054" xr:uid="{00000000-0005-0000-0000-0000470B0000}"/>
    <cellStyle name="Currency 3 2 5 2 3 2" xfId="13493" xr:uid="{C89D33D7-A499-422C-A3F0-AB6006E0C673}"/>
    <cellStyle name="Currency 3 2 5 2 4" xfId="9275" xr:uid="{6A33BC69-CA36-4966-9097-6238F78541DA}"/>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16051" xr:uid="{FE37401F-2588-40A2-B70D-EE9CE00A3E40}"/>
    <cellStyle name="Currency 3 2 5 3 2 3" xfId="11833" xr:uid="{5B4913DB-E124-4D6B-8FF0-F69D63522F79}"/>
    <cellStyle name="Currency 3 2 5 3 3" xfId="5467" xr:uid="{00000000-0005-0000-0000-00004B0B0000}"/>
    <cellStyle name="Currency 3 2 5 3 3 2" xfId="13906" xr:uid="{4579B791-2BF8-40C4-9CC6-1A2BF709CF89}"/>
    <cellStyle name="Currency 3 2 5 3 4" xfId="9688" xr:uid="{A0682A97-3EAB-4497-B225-0B47D7C383F1}"/>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16464" xr:uid="{4D65ADB5-1EBC-42CB-BDB0-D2A334FE7B4D}"/>
    <cellStyle name="Currency 3 2 5 4 2 3" xfId="12246" xr:uid="{E12B863A-7651-44D2-84E4-31ECE5E5D98E}"/>
    <cellStyle name="Currency 3 2 5 4 3" xfId="5880" xr:uid="{00000000-0005-0000-0000-00004F0B0000}"/>
    <cellStyle name="Currency 3 2 5 4 3 2" xfId="14319" xr:uid="{83F5162C-E79F-4CD8-974E-46F11C494C88}"/>
    <cellStyle name="Currency 3 2 5 4 4" xfId="10101" xr:uid="{98D69326-CC58-49E2-A7CE-4A274989A0C6}"/>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16877" xr:uid="{94B8711D-5375-4DB6-9779-42BA04236120}"/>
    <cellStyle name="Currency 3 2 5 5 2 3" xfId="12659" xr:uid="{855D8212-55AD-4FB7-9AB4-36F45A6CAE73}"/>
    <cellStyle name="Currency 3 2 5 5 3" xfId="6293" xr:uid="{00000000-0005-0000-0000-0000530B0000}"/>
    <cellStyle name="Currency 3 2 5 5 3 2" xfId="14732" xr:uid="{8BB565C6-5E18-45F3-BF87-543A5818FD09}"/>
    <cellStyle name="Currency 3 2 5 5 4" xfId="10514" xr:uid="{3DB6EA0F-BC34-4BF3-9E25-ABDC8495ACDD}"/>
    <cellStyle name="Currency 3 2 5 6" xfId="2421" xr:uid="{00000000-0005-0000-0000-0000540B0000}"/>
    <cellStyle name="Currency 3 2 5 6 2" xfId="6706" xr:uid="{00000000-0005-0000-0000-0000550B0000}"/>
    <cellStyle name="Currency 3 2 5 6 2 2" xfId="15145" xr:uid="{7E8BA2CB-C586-4AEF-A7C3-2ECFDD4E593D}"/>
    <cellStyle name="Currency 3 2 5 6 3" xfId="10927" xr:uid="{4CE187FA-8A94-4C77-854C-FE30509B5409}"/>
    <cellStyle name="Currency 3 2 5 7" xfId="2718" xr:uid="{00000000-0005-0000-0000-0000560B0000}"/>
    <cellStyle name="Currency 3 2 5 8" xfId="2799" xr:uid="{00000000-0005-0000-0000-0000570B0000}"/>
    <cellStyle name="Currency 3 2 5 8 2" xfId="7023" xr:uid="{00000000-0005-0000-0000-0000580B0000}"/>
    <cellStyle name="Currency 3 2 5 8 2 2" xfId="15462" xr:uid="{03ECB132-A3E2-497D-899E-B150F570547D}"/>
    <cellStyle name="Currency 3 2 5 8 3" xfId="11244" xr:uid="{AAB01E8C-31CE-482E-BE58-8AEC670A1AA8}"/>
    <cellStyle name="Currency 3 2 5 9" xfId="4640" xr:uid="{00000000-0005-0000-0000-0000590B0000}"/>
    <cellStyle name="Currency 3 2 5 9 2" xfId="13079" xr:uid="{BDD08FD9-0D33-48A7-9BD2-23B771EA5805}"/>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15463" xr:uid="{355FEFCB-B3DB-47FF-A0BF-70673EBBA15C}"/>
    <cellStyle name="Currency 5 2 2 2 10 3" xfId="11245" xr:uid="{4BAD4BE3-95FA-4DAB-B654-7B0EAA85975C}"/>
    <cellStyle name="Currency 5 2 2 2 11" xfId="4641" xr:uid="{00000000-0005-0000-0000-00006C0B0000}"/>
    <cellStyle name="Currency 5 2 2 2 11 2" xfId="13080" xr:uid="{B1A5C88D-DB86-4F7C-9A8C-D8CA4AFC46F5}"/>
    <cellStyle name="Currency 5 2 2 2 12" xfId="8862" xr:uid="{F2C68923-D0FE-409A-8BB6-AD986D9C0689}"/>
    <cellStyle name="Currency 5 2 2 2 2" xfId="197" xr:uid="{00000000-0005-0000-0000-00006D0B0000}"/>
    <cellStyle name="Currency 5 2 2 2 2 10" xfId="4642" xr:uid="{00000000-0005-0000-0000-00006E0B0000}"/>
    <cellStyle name="Currency 5 2 2 2 2 10 2" xfId="13081" xr:uid="{0757B927-3099-4795-A790-200711801A7B}"/>
    <cellStyle name="Currency 5 2 2 2 2 11" xfId="8863" xr:uid="{8009A2EC-CF21-4CA6-A815-A996EFFD7566}"/>
    <cellStyle name="Currency 5 2 2 2 2 2" xfId="198" xr:uid="{00000000-0005-0000-0000-00006F0B0000}"/>
    <cellStyle name="Currency 5 2 2 2 2 2 10" xfId="8864" xr:uid="{494E4729-7C05-4928-BBDD-A8E0AA83CDEB}"/>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5641" xr:uid="{914DC9D4-98A5-42B8-B1D3-D6BEC670E59F}"/>
    <cellStyle name="Currency 5 2 2 2 2 2 2 2 3" xfId="11423" xr:uid="{5E16EB4C-EB2F-4370-B6FE-F2AF49522215}"/>
    <cellStyle name="Currency 5 2 2 2 2 2 2 3" xfId="5057" xr:uid="{00000000-0005-0000-0000-0000730B0000}"/>
    <cellStyle name="Currency 5 2 2 2 2 2 2 3 2" xfId="13496" xr:uid="{A678196C-B744-4955-96D4-3D095B07C8FD}"/>
    <cellStyle name="Currency 5 2 2 2 2 2 2 4" xfId="9278" xr:uid="{0A619CBD-B0AC-47BD-89BD-EE428C0DFADD}"/>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16054" xr:uid="{161218B4-5BBD-4F66-ABF5-C77B194E2099}"/>
    <cellStyle name="Currency 5 2 2 2 2 2 3 2 3" xfId="11836" xr:uid="{F47DC970-0B27-4BBB-9815-140D244FDD76}"/>
    <cellStyle name="Currency 5 2 2 2 2 2 3 3" xfId="5470" xr:uid="{00000000-0005-0000-0000-0000770B0000}"/>
    <cellStyle name="Currency 5 2 2 2 2 2 3 3 2" xfId="13909" xr:uid="{CB302110-20B6-4211-BFAB-39ED51841FEA}"/>
    <cellStyle name="Currency 5 2 2 2 2 2 3 4" xfId="9691" xr:uid="{B59C519C-6557-485F-BAE5-BB79710907F9}"/>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16467" xr:uid="{B543E895-8912-4749-92D3-CE0873001505}"/>
    <cellStyle name="Currency 5 2 2 2 2 2 4 2 3" xfId="12249" xr:uid="{C555336A-DCC3-4555-BAD4-13C6516A1A9C}"/>
    <cellStyle name="Currency 5 2 2 2 2 2 4 3" xfId="5883" xr:uid="{00000000-0005-0000-0000-00007B0B0000}"/>
    <cellStyle name="Currency 5 2 2 2 2 2 4 3 2" xfId="14322" xr:uid="{9033CA1A-B059-4518-8D9B-5EB11452ADC2}"/>
    <cellStyle name="Currency 5 2 2 2 2 2 4 4" xfId="10104" xr:uid="{BF97E032-5F4D-4DCC-ADD3-232348DD6A12}"/>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16880" xr:uid="{985486A5-B7E9-4BAE-9768-3C6D3CA34CF0}"/>
    <cellStyle name="Currency 5 2 2 2 2 2 5 2 3" xfId="12662" xr:uid="{F22BDE22-979B-45D1-84E1-80DEA3C0E577}"/>
    <cellStyle name="Currency 5 2 2 2 2 2 5 3" xfId="6296" xr:uid="{00000000-0005-0000-0000-00007F0B0000}"/>
    <cellStyle name="Currency 5 2 2 2 2 2 5 3 2" xfId="14735" xr:uid="{342FFADF-ACB5-4DFA-B9A0-A817C3AD476C}"/>
    <cellStyle name="Currency 5 2 2 2 2 2 5 4" xfId="10517" xr:uid="{93E37043-23FC-471E-841D-07DA55FDCCE5}"/>
    <cellStyle name="Currency 5 2 2 2 2 2 6" xfId="2424" xr:uid="{00000000-0005-0000-0000-0000800B0000}"/>
    <cellStyle name="Currency 5 2 2 2 2 2 6 2" xfId="6709" xr:uid="{00000000-0005-0000-0000-0000810B0000}"/>
    <cellStyle name="Currency 5 2 2 2 2 2 6 2 2" xfId="15148" xr:uid="{918BE1C7-9CEE-4FB3-AC95-0059C5EBEE3B}"/>
    <cellStyle name="Currency 5 2 2 2 2 2 6 3" xfId="10930" xr:uid="{41895A8E-5DB6-47E0-B1F1-BDADAE82B08F}"/>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15465" xr:uid="{ACE39819-389E-4BF9-9200-345139D9FB20}"/>
    <cellStyle name="Currency 5 2 2 2 2 2 8 3" xfId="11247" xr:uid="{429F288F-5F9F-459A-9EF0-AFFDF8DFD8F5}"/>
    <cellStyle name="Currency 5 2 2 2 2 2 9" xfId="4643" xr:uid="{00000000-0005-0000-0000-0000850B0000}"/>
    <cellStyle name="Currency 5 2 2 2 2 2 9 2" xfId="13082" xr:uid="{4E4E013C-511C-4097-9540-5E02DCA10B26}"/>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5640" xr:uid="{A377ED02-F284-45CC-9AFC-A35681EDB9CC}"/>
    <cellStyle name="Currency 5 2 2 2 2 3 2 3" xfId="11422" xr:uid="{1417789F-DF45-48E5-82C6-970D75C5B4C1}"/>
    <cellStyle name="Currency 5 2 2 2 2 3 3" xfId="5056" xr:uid="{00000000-0005-0000-0000-0000890B0000}"/>
    <cellStyle name="Currency 5 2 2 2 2 3 3 2" xfId="13495" xr:uid="{A712934A-2325-417E-9A5F-B55106904840}"/>
    <cellStyle name="Currency 5 2 2 2 2 3 4" xfId="9277" xr:uid="{3847C36D-1A26-42F0-A412-2E99A0077C99}"/>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16053" xr:uid="{BE072456-9160-49EA-8653-8BE03ABD1CC6}"/>
    <cellStyle name="Currency 5 2 2 2 2 4 2 3" xfId="11835" xr:uid="{32827F4F-DE99-46AF-8AAC-C8D6C1239A8A}"/>
    <cellStyle name="Currency 5 2 2 2 2 4 3" xfId="5469" xr:uid="{00000000-0005-0000-0000-00008D0B0000}"/>
    <cellStyle name="Currency 5 2 2 2 2 4 3 2" xfId="13908" xr:uid="{C0329E63-E705-45BC-BEB3-8DBAA6C89835}"/>
    <cellStyle name="Currency 5 2 2 2 2 4 4" xfId="9690" xr:uid="{04F1002D-34D1-4A5E-B358-8DBC5A4D9AAC}"/>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16466" xr:uid="{4B2EE568-DB41-44F5-87C0-1F340E53C41A}"/>
    <cellStyle name="Currency 5 2 2 2 2 5 2 3" xfId="12248" xr:uid="{5C3BD90E-8E0E-4117-8FF6-C5083F18BDDE}"/>
    <cellStyle name="Currency 5 2 2 2 2 5 3" xfId="5882" xr:uid="{00000000-0005-0000-0000-0000910B0000}"/>
    <cellStyle name="Currency 5 2 2 2 2 5 3 2" xfId="14321" xr:uid="{A40D75AD-7FB7-48EE-85B0-776CFFDA7F3A}"/>
    <cellStyle name="Currency 5 2 2 2 2 5 4" xfId="10103" xr:uid="{D096C545-5052-47FC-BD2E-EC8D806E79D6}"/>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16879" xr:uid="{6EF957D2-3D37-4767-B21C-61256476EA59}"/>
    <cellStyle name="Currency 5 2 2 2 2 6 2 3" xfId="12661" xr:uid="{A5668800-A5E1-4F7F-970F-F5F832699829}"/>
    <cellStyle name="Currency 5 2 2 2 2 6 3" xfId="6295" xr:uid="{00000000-0005-0000-0000-0000950B0000}"/>
    <cellStyle name="Currency 5 2 2 2 2 6 3 2" xfId="14734" xr:uid="{46B37F0D-F6EE-44BA-AF72-2E95F7074040}"/>
    <cellStyle name="Currency 5 2 2 2 2 6 4" xfId="10516" xr:uid="{1C2A33DC-B8B7-4470-B6BD-D1B7B411160B}"/>
    <cellStyle name="Currency 5 2 2 2 2 7" xfId="2423" xr:uid="{00000000-0005-0000-0000-0000960B0000}"/>
    <cellStyle name="Currency 5 2 2 2 2 7 2" xfId="6708" xr:uid="{00000000-0005-0000-0000-0000970B0000}"/>
    <cellStyle name="Currency 5 2 2 2 2 7 2 2" xfId="15147" xr:uid="{78591F0E-93FF-4E1B-96BC-B4AEB88F1EE1}"/>
    <cellStyle name="Currency 5 2 2 2 2 7 3" xfId="10929" xr:uid="{F14B4157-FA1E-46C0-B91C-7FEA60993312}"/>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15464" xr:uid="{DE12C686-FCB4-4FF8-A270-770F1B9CF09F}"/>
    <cellStyle name="Currency 5 2 2 2 2 9 3" xfId="11246" xr:uid="{1D09FB13-4C1D-4A2F-91F4-33A0D38DEC1E}"/>
    <cellStyle name="Currency 5 2 2 2 3" xfId="199" xr:uid="{00000000-0005-0000-0000-00009B0B0000}"/>
    <cellStyle name="Currency 5 2 2 2 3 10" xfId="8865" xr:uid="{F14D31B1-D567-44F7-8602-83D70E8B39AF}"/>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5642" xr:uid="{059E1FD2-5F92-4591-9BF5-BF0956C58FF0}"/>
    <cellStyle name="Currency 5 2 2 2 3 2 2 3" xfId="11424" xr:uid="{D0114A28-EE26-460E-930A-6ACEA08B9347}"/>
    <cellStyle name="Currency 5 2 2 2 3 2 3" xfId="5058" xr:uid="{00000000-0005-0000-0000-00009F0B0000}"/>
    <cellStyle name="Currency 5 2 2 2 3 2 3 2" xfId="13497" xr:uid="{3A7692EF-32B8-41EF-8D53-C560CBCACE6C}"/>
    <cellStyle name="Currency 5 2 2 2 3 2 4" xfId="9279" xr:uid="{AFDA9C79-23B2-45DD-8EAF-9F16D1A41BB4}"/>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16055" xr:uid="{413F0CC7-AB62-4C66-85EF-4E2CBDD903DF}"/>
    <cellStyle name="Currency 5 2 2 2 3 3 2 3" xfId="11837" xr:uid="{733147C7-713E-4316-8801-430F0231F5AF}"/>
    <cellStyle name="Currency 5 2 2 2 3 3 3" xfId="5471" xr:uid="{00000000-0005-0000-0000-0000A30B0000}"/>
    <cellStyle name="Currency 5 2 2 2 3 3 3 2" xfId="13910" xr:uid="{2B725138-892A-47CB-9563-E2F395EF5F99}"/>
    <cellStyle name="Currency 5 2 2 2 3 3 4" xfId="9692" xr:uid="{071BD941-675C-41F6-A6BA-173DE096D238}"/>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16468" xr:uid="{46548B00-6B71-4FA4-A9FC-765E6230EBCF}"/>
    <cellStyle name="Currency 5 2 2 2 3 4 2 3" xfId="12250" xr:uid="{43D07E36-79DF-4369-9F89-9475AB26723F}"/>
    <cellStyle name="Currency 5 2 2 2 3 4 3" xfId="5884" xr:uid="{00000000-0005-0000-0000-0000A70B0000}"/>
    <cellStyle name="Currency 5 2 2 2 3 4 3 2" xfId="14323" xr:uid="{AFA7DAEF-D8AE-4DE6-B986-B75B0940A7F5}"/>
    <cellStyle name="Currency 5 2 2 2 3 4 4" xfId="10105" xr:uid="{69965EC9-AE5A-40EB-A910-02F78531E97E}"/>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16881" xr:uid="{F44355A2-4115-47EC-A0AD-CF16FFA3B676}"/>
    <cellStyle name="Currency 5 2 2 2 3 5 2 3" xfId="12663" xr:uid="{ECE37055-4A5D-4A9B-92F4-514AAF322700}"/>
    <cellStyle name="Currency 5 2 2 2 3 5 3" xfId="6297" xr:uid="{00000000-0005-0000-0000-0000AB0B0000}"/>
    <cellStyle name="Currency 5 2 2 2 3 5 3 2" xfId="14736" xr:uid="{5003E0F5-C836-4064-AC2C-2FE6FF51DE07}"/>
    <cellStyle name="Currency 5 2 2 2 3 5 4" xfId="10518" xr:uid="{65D5C860-5CB9-464E-ABD3-E04F212D99F4}"/>
    <cellStyle name="Currency 5 2 2 2 3 6" xfId="2425" xr:uid="{00000000-0005-0000-0000-0000AC0B0000}"/>
    <cellStyle name="Currency 5 2 2 2 3 6 2" xfId="6710" xr:uid="{00000000-0005-0000-0000-0000AD0B0000}"/>
    <cellStyle name="Currency 5 2 2 2 3 6 2 2" xfId="15149" xr:uid="{755747A9-0858-4C5B-BB6A-C574995A0ABD}"/>
    <cellStyle name="Currency 5 2 2 2 3 6 3" xfId="10931" xr:uid="{71F32F18-70CE-4266-90F6-DAB65E179DDB}"/>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15466" xr:uid="{94F76578-D49B-41F1-9B7E-05180AD90CAB}"/>
    <cellStyle name="Currency 5 2 2 2 3 8 3" xfId="11248" xr:uid="{BE494543-610B-4EA8-96BB-AC5F43D2CBEA}"/>
    <cellStyle name="Currency 5 2 2 2 3 9" xfId="4644" xr:uid="{00000000-0005-0000-0000-0000B10B0000}"/>
    <cellStyle name="Currency 5 2 2 2 3 9 2" xfId="13083" xr:uid="{46E195B9-AB6E-454A-A79A-3FF3218E54CE}"/>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5639" xr:uid="{94C77F4E-020C-4A60-8E14-53848D8C4D55}"/>
    <cellStyle name="Currency 5 2 2 2 4 2 3" xfId="11421" xr:uid="{C31589F7-9C87-4735-8A96-925C64A36EF8}"/>
    <cellStyle name="Currency 5 2 2 2 4 3" xfId="5055" xr:uid="{00000000-0005-0000-0000-0000B50B0000}"/>
    <cellStyle name="Currency 5 2 2 2 4 3 2" xfId="13494" xr:uid="{E1D23749-5DCE-49FB-A220-B575CB65A3F3}"/>
    <cellStyle name="Currency 5 2 2 2 4 4" xfId="9276" xr:uid="{12C84086-565B-4637-BBB4-661D12E3A741}"/>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16052" xr:uid="{486EC1CB-DECA-4219-9FC2-44C347AFB40C}"/>
    <cellStyle name="Currency 5 2 2 2 5 2 3" xfId="11834" xr:uid="{EE9EBF6D-93F1-4847-BBEE-D7F0A8F6D24D}"/>
    <cellStyle name="Currency 5 2 2 2 5 3" xfId="5468" xr:uid="{00000000-0005-0000-0000-0000B90B0000}"/>
    <cellStyle name="Currency 5 2 2 2 5 3 2" xfId="13907" xr:uid="{F9FBCE22-28A5-4E33-90A2-45B8FEDBCBBC}"/>
    <cellStyle name="Currency 5 2 2 2 5 4" xfId="9689" xr:uid="{CEACFE5B-66E3-4B11-99C6-B78B0F99CC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16465" xr:uid="{ECEA62FA-72EB-477E-83A5-978BF440596C}"/>
    <cellStyle name="Currency 5 2 2 2 6 2 3" xfId="12247" xr:uid="{28ADEDCA-D56E-4A1D-B9B5-C1D7FBEE7D99}"/>
    <cellStyle name="Currency 5 2 2 2 6 3" xfId="5881" xr:uid="{00000000-0005-0000-0000-0000BD0B0000}"/>
    <cellStyle name="Currency 5 2 2 2 6 3 2" xfId="14320" xr:uid="{D8B60905-2266-4A26-924D-7D308B3F366B}"/>
    <cellStyle name="Currency 5 2 2 2 6 4" xfId="10102" xr:uid="{D33B8DEF-4189-4D75-AD56-58A827821596}"/>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16878" xr:uid="{69C2E6E0-1D3F-4857-BE7D-85B46B7CAB39}"/>
    <cellStyle name="Currency 5 2 2 2 7 2 3" xfId="12660" xr:uid="{F466D0DB-C3EE-4D6B-BEF8-5655DC2509DD}"/>
    <cellStyle name="Currency 5 2 2 2 7 3" xfId="6294" xr:uid="{00000000-0005-0000-0000-0000C10B0000}"/>
    <cellStyle name="Currency 5 2 2 2 7 3 2" xfId="14733" xr:uid="{0E371AA1-605D-40E9-8452-DC728EDEB863}"/>
    <cellStyle name="Currency 5 2 2 2 7 4" xfId="10515" xr:uid="{8D38E8D4-DF19-4467-82C7-42DEF492C7FB}"/>
    <cellStyle name="Currency 5 2 2 2 8" xfId="2422" xr:uid="{00000000-0005-0000-0000-0000C20B0000}"/>
    <cellStyle name="Currency 5 2 2 2 8 2" xfId="6707" xr:uid="{00000000-0005-0000-0000-0000C30B0000}"/>
    <cellStyle name="Currency 5 2 2 2 8 2 2" xfId="15146" xr:uid="{F2BED9A1-67EF-43A4-9BE6-AF84B5357AAC}"/>
    <cellStyle name="Currency 5 2 2 2 8 3" xfId="10928" xr:uid="{01FE7CEF-432B-44E4-A109-4B7AC99345B8}"/>
    <cellStyle name="Currency 5 2 2 2 9" xfId="2719" xr:uid="{00000000-0005-0000-0000-0000C40B0000}"/>
    <cellStyle name="Currency 5 2 2 3" xfId="200" xr:uid="{00000000-0005-0000-0000-0000C50B0000}"/>
    <cellStyle name="Currency 5 2 2 3 10" xfId="4645" xr:uid="{00000000-0005-0000-0000-0000C60B0000}"/>
    <cellStyle name="Currency 5 2 2 3 10 2" xfId="13084" xr:uid="{A009EF3B-A902-4D80-9CB0-954992C4F3D1}"/>
    <cellStyle name="Currency 5 2 2 3 11" xfId="8866" xr:uid="{D7103923-960B-47FC-854D-5846D3FD9B33}"/>
    <cellStyle name="Currency 5 2 2 3 2" xfId="201" xr:uid="{00000000-0005-0000-0000-0000C70B0000}"/>
    <cellStyle name="Currency 5 2 2 3 2 10" xfId="8867" xr:uid="{FC97AB6E-5572-455D-9F93-E86F2C95E94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5644" xr:uid="{7D77B255-9ADF-446C-8F7A-2767E5F53454}"/>
    <cellStyle name="Currency 5 2 2 3 2 2 2 3" xfId="11426" xr:uid="{0CE69150-60F4-4BF1-8352-90B74F542DEB}"/>
    <cellStyle name="Currency 5 2 2 3 2 2 3" xfId="5060" xr:uid="{00000000-0005-0000-0000-0000CB0B0000}"/>
    <cellStyle name="Currency 5 2 2 3 2 2 3 2" xfId="13499" xr:uid="{975971CC-0728-4730-A0D8-ED1A73071208}"/>
    <cellStyle name="Currency 5 2 2 3 2 2 4" xfId="9281" xr:uid="{B6553E7B-59DF-4C00-B235-E450152BCE39}"/>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16057" xr:uid="{7EE438EB-3D51-4080-A710-0E05CF89E855}"/>
    <cellStyle name="Currency 5 2 2 3 2 3 2 3" xfId="11839" xr:uid="{0F01E75C-EE0A-4308-BE96-CD9BC6D09DF0}"/>
    <cellStyle name="Currency 5 2 2 3 2 3 3" xfId="5473" xr:uid="{00000000-0005-0000-0000-0000CF0B0000}"/>
    <cellStyle name="Currency 5 2 2 3 2 3 3 2" xfId="13912" xr:uid="{49660448-0A18-48D5-AD7D-948DC1A3928B}"/>
    <cellStyle name="Currency 5 2 2 3 2 3 4" xfId="9694" xr:uid="{3153492F-77BB-4A7E-98DD-32BF61E03E83}"/>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16470" xr:uid="{BC76F646-6EAF-4808-BBC6-A7D8FFAE9DBE}"/>
    <cellStyle name="Currency 5 2 2 3 2 4 2 3" xfId="12252" xr:uid="{9A33F295-C10C-42B8-9E1B-8507B29FA09C}"/>
    <cellStyle name="Currency 5 2 2 3 2 4 3" xfId="5886" xr:uid="{00000000-0005-0000-0000-0000D30B0000}"/>
    <cellStyle name="Currency 5 2 2 3 2 4 3 2" xfId="14325" xr:uid="{28CFD12C-A1B2-4955-BDCC-6C0EA7E114E5}"/>
    <cellStyle name="Currency 5 2 2 3 2 4 4" xfId="10107" xr:uid="{9CD9199C-564C-41F6-BAFA-9B81F197B65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16883" xr:uid="{B93A57BF-9BB9-4BB3-93BE-02CD931EADB4}"/>
    <cellStyle name="Currency 5 2 2 3 2 5 2 3" xfId="12665" xr:uid="{F25C8943-3332-4E86-B9A7-2DCD740C21B3}"/>
    <cellStyle name="Currency 5 2 2 3 2 5 3" xfId="6299" xr:uid="{00000000-0005-0000-0000-0000D70B0000}"/>
    <cellStyle name="Currency 5 2 2 3 2 5 3 2" xfId="14738" xr:uid="{68A7566B-731B-461B-826C-E8FE2C0DBB5F}"/>
    <cellStyle name="Currency 5 2 2 3 2 5 4" xfId="10520" xr:uid="{F711136D-F4AF-445E-AAD0-6B70CE138BCA}"/>
    <cellStyle name="Currency 5 2 2 3 2 6" xfId="2427" xr:uid="{00000000-0005-0000-0000-0000D80B0000}"/>
    <cellStyle name="Currency 5 2 2 3 2 6 2" xfId="6712" xr:uid="{00000000-0005-0000-0000-0000D90B0000}"/>
    <cellStyle name="Currency 5 2 2 3 2 6 2 2" xfId="15151" xr:uid="{85AFAEAB-B62D-4F5B-8E7A-CEFFB47F3F41}"/>
    <cellStyle name="Currency 5 2 2 3 2 6 3" xfId="10933" xr:uid="{28120621-C0A6-4CA3-94FE-7EAF37CEDBF8}"/>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15468" xr:uid="{51AF08BC-942A-4E8B-B666-AC0CCF4A2B17}"/>
    <cellStyle name="Currency 5 2 2 3 2 8 3" xfId="11250" xr:uid="{38418933-630D-4613-9FED-0688F5ABFD8F}"/>
    <cellStyle name="Currency 5 2 2 3 2 9" xfId="4646" xr:uid="{00000000-0005-0000-0000-0000DD0B0000}"/>
    <cellStyle name="Currency 5 2 2 3 2 9 2" xfId="13085" xr:uid="{9CB03537-03B4-433B-B9B3-3B3797B9AE24}"/>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5643" xr:uid="{A622BECD-ECC7-4D4D-B1C1-A6D46E675C5F}"/>
    <cellStyle name="Currency 5 2 2 3 3 2 3" xfId="11425" xr:uid="{CCEFD1D7-8486-4BC1-9AC6-C6E0D237B2FE}"/>
    <cellStyle name="Currency 5 2 2 3 3 3" xfId="5059" xr:uid="{00000000-0005-0000-0000-0000E10B0000}"/>
    <cellStyle name="Currency 5 2 2 3 3 3 2" xfId="13498" xr:uid="{91001AAD-AB77-44B2-8C9C-AA81A48DCDC6}"/>
    <cellStyle name="Currency 5 2 2 3 3 4" xfId="9280" xr:uid="{C6120399-3903-4AC3-8715-030D8B294387}"/>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16056" xr:uid="{43342281-C131-4270-8F4A-871B7464DFE9}"/>
    <cellStyle name="Currency 5 2 2 3 4 2 3" xfId="11838" xr:uid="{708E109D-1229-45E6-8501-7AB8150BBD39}"/>
    <cellStyle name="Currency 5 2 2 3 4 3" xfId="5472" xr:uid="{00000000-0005-0000-0000-0000E50B0000}"/>
    <cellStyle name="Currency 5 2 2 3 4 3 2" xfId="13911" xr:uid="{B2278DF8-2B9D-461A-AAD4-18119E095628}"/>
    <cellStyle name="Currency 5 2 2 3 4 4" xfId="9693" xr:uid="{32560AF5-5A71-4313-B573-4D830D8FF7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16469" xr:uid="{BCDFA4EC-1330-4A83-B70D-6EB47D317BD5}"/>
    <cellStyle name="Currency 5 2 2 3 5 2 3" xfId="12251" xr:uid="{C02350C7-F343-4D74-8B82-745ED1180FC6}"/>
    <cellStyle name="Currency 5 2 2 3 5 3" xfId="5885" xr:uid="{00000000-0005-0000-0000-0000E90B0000}"/>
    <cellStyle name="Currency 5 2 2 3 5 3 2" xfId="14324" xr:uid="{04756F4D-E7C3-4309-A80B-0AEC08846598}"/>
    <cellStyle name="Currency 5 2 2 3 5 4" xfId="10106" xr:uid="{DDD779C1-FBB7-4C2C-8373-E2479B0CB4D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16882" xr:uid="{71B1CCC8-7075-449E-8622-9DEA6C1A80CD}"/>
    <cellStyle name="Currency 5 2 2 3 6 2 3" xfId="12664" xr:uid="{5A7D213C-9371-4305-8D74-D7972C43D749}"/>
    <cellStyle name="Currency 5 2 2 3 6 3" xfId="6298" xr:uid="{00000000-0005-0000-0000-0000ED0B0000}"/>
    <cellStyle name="Currency 5 2 2 3 6 3 2" xfId="14737" xr:uid="{85622468-1AFB-4475-AF87-CD51A1C82195}"/>
    <cellStyle name="Currency 5 2 2 3 6 4" xfId="10519" xr:uid="{8968D7D6-16E2-424F-B46B-3AF13F159690}"/>
    <cellStyle name="Currency 5 2 2 3 7" xfId="2426" xr:uid="{00000000-0005-0000-0000-0000EE0B0000}"/>
    <cellStyle name="Currency 5 2 2 3 7 2" xfId="6711" xr:uid="{00000000-0005-0000-0000-0000EF0B0000}"/>
    <cellStyle name="Currency 5 2 2 3 7 2 2" xfId="15150" xr:uid="{77F21735-C782-4853-9D71-F85194596DDD}"/>
    <cellStyle name="Currency 5 2 2 3 7 3" xfId="10932" xr:uid="{1CE87C4B-5CA5-4D43-A753-92BFB1D2F3A3}"/>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15467" xr:uid="{BBE21694-118F-4AE4-9721-AB3A40F476C6}"/>
    <cellStyle name="Currency 5 2 2 3 9 3" xfId="11249" xr:uid="{11551C7C-8C00-4A7F-939C-06A2B42330B0}"/>
    <cellStyle name="Currency 5 2 2 4" xfId="202" xr:uid="{00000000-0005-0000-0000-0000F30B0000}"/>
    <cellStyle name="Currency 5 2 2 4 10" xfId="8868" xr:uid="{C04900D6-A20A-47A0-B85C-8426EA321958}"/>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5645" xr:uid="{F9DBF4A5-5505-4985-93DF-904793664677}"/>
    <cellStyle name="Currency 5 2 2 4 2 2 3" xfId="11427" xr:uid="{CCDFDD2C-4660-4400-B7F1-F758247D42FF}"/>
    <cellStyle name="Currency 5 2 2 4 2 3" xfId="5061" xr:uid="{00000000-0005-0000-0000-0000F70B0000}"/>
    <cellStyle name="Currency 5 2 2 4 2 3 2" xfId="13500" xr:uid="{D495B9F6-9297-4487-8352-4A2FC28AC6EF}"/>
    <cellStyle name="Currency 5 2 2 4 2 4" xfId="9282" xr:uid="{48A4B344-5DA7-4A61-887C-91A498501746}"/>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16058" xr:uid="{0C4FE09D-B127-440A-9B5C-F92377711088}"/>
    <cellStyle name="Currency 5 2 2 4 3 2 3" xfId="11840" xr:uid="{18BCF94F-B474-4DD6-90C9-52784E8900E6}"/>
    <cellStyle name="Currency 5 2 2 4 3 3" xfId="5474" xr:uid="{00000000-0005-0000-0000-0000FB0B0000}"/>
    <cellStyle name="Currency 5 2 2 4 3 3 2" xfId="13913" xr:uid="{9DF4AF33-ED65-4429-8899-D60CD40C5EC5}"/>
    <cellStyle name="Currency 5 2 2 4 3 4" xfId="9695" xr:uid="{0555DA06-9A24-4A73-8487-D1A14E33C055}"/>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16471" xr:uid="{925E63E8-35A3-4ED8-820A-02EEAB6BF9CF}"/>
    <cellStyle name="Currency 5 2 2 4 4 2 3" xfId="12253" xr:uid="{11F92A76-6F8B-4546-AD64-41E908DD1E21}"/>
    <cellStyle name="Currency 5 2 2 4 4 3" xfId="5887" xr:uid="{00000000-0005-0000-0000-0000FF0B0000}"/>
    <cellStyle name="Currency 5 2 2 4 4 3 2" xfId="14326" xr:uid="{E333D7C4-A2A5-450A-AAC6-ACB91F56DC4B}"/>
    <cellStyle name="Currency 5 2 2 4 4 4" xfId="10108" xr:uid="{7F65EC0A-200C-42FC-80BE-C92ECFAF6529}"/>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16884" xr:uid="{BC09516C-448A-4B16-8A15-3A19C680D9E9}"/>
    <cellStyle name="Currency 5 2 2 4 5 2 3" xfId="12666" xr:uid="{1E88BCCF-9AB8-4C9C-823D-E4BA1BACCC9E}"/>
    <cellStyle name="Currency 5 2 2 4 5 3" xfId="6300" xr:uid="{00000000-0005-0000-0000-0000030C0000}"/>
    <cellStyle name="Currency 5 2 2 4 5 3 2" xfId="14739" xr:uid="{70D9610A-72F6-41BD-A7AE-248D9E1C07F6}"/>
    <cellStyle name="Currency 5 2 2 4 5 4" xfId="10521" xr:uid="{08BF1D0A-3F16-4403-B641-C0E04595791D}"/>
    <cellStyle name="Currency 5 2 2 4 6" xfId="2428" xr:uid="{00000000-0005-0000-0000-0000040C0000}"/>
    <cellStyle name="Currency 5 2 2 4 6 2" xfId="6713" xr:uid="{00000000-0005-0000-0000-0000050C0000}"/>
    <cellStyle name="Currency 5 2 2 4 6 2 2" xfId="15152" xr:uid="{E41FF37D-E3D7-4EED-AE90-DD56E8CD9F94}"/>
    <cellStyle name="Currency 5 2 2 4 6 3" xfId="10934" xr:uid="{953052F2-0AD5-4A90-8524-8EE5C1A88C81}"/>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15469" xr:uid="{E8A4EA9E-F1F9-46BF-BCBD-E1F6AC87F5B4}"/>
    <cellStyle name="Currency 5 2 2 4 8 3" xfId="11251" xr:uid="{0F426555-328C-443E-B152-64AC2038689E}"/>
    <cellStyle name="Currency 5 2 2 4 9" xfId="4647" xr:uid="{00000000-0005-0000-0000-0000090C0000}"/>
    <cellStyle name="Currency 5 2 2 4 9 2" xfId="13086" xr:uid="{8351BBFB-CABD-4F6D-8ECA-7DD076D8555F}"/>
    <cellStyle name="Currency 5 2 2 5" xfId="203" xr:uid="{00000000-0005-0000-0000-00000A0C0000}"/>
    <cellStyle name="Currency 5 2 2 5 10" xfId="8869" xr:uid="{6CB29CDE-4069-4562-823D-C369AFFDC76A}"/>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5646" xr:uid="{4ED7E84D-40C2-40B3-9321-285739A0717F}"/>
    <cellStyle name="Currency 5 2 2 5 2 2 3" xfId="11428" xr:uid="{57647E96-321B-404F-885F-81C7E2790980}"/>
    <cellStyle name="Currency 5 2 2 5 2 3" xfId="5062" xr:uid="{00000000-0005-0000-0000-00000E0C0000}"/>
    <cellStyle name="Currency 5 2 2 5 2 3 2" xfId="13501" xr:uid="{BE6F8B35-91F2-4954-BD00-D2D15EA32F17}"/>
    <cellStyle name="Currency 5 2 2 5 2 4" xfId="9283" xr:uid="{FD1E908F-3B46-49E7-BE57-6B4E23D2278E}"/>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16059" xr:uid="{4D072539-BA50-475C-A7F0-EEB71675C800}"/>
    <cellStyle name="Currency 5 2 2 5 3 2 3" xfId="11841" xr:uid="{37AE1F5D-CEC5-4714-8004-3A2B10EB1C64}"/>
    <cellStyle name="Currency 5 2 2 5 3 3" xfId="5475" xr:uid="{00000000-0005-0000-0000-0000120C0000}"/>
    <cellStyle name="Currency 5 2 2 5 3 3 2" xfId="13914" xr:uid="{DE761D28-C11D-4FCD-A8C3-4B925EAF330C}"/>
    <cellStyle name="Currency 5 2 2 5 3 4" xfId="9696" xr:uid="{6A49690F-EBB1-4C67-9D0E-0BCE53720347}"/>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16472" xr:uid="{26DB1EF8-8B19-4AB4-AC5A-15E2905E6A9E}"/>
    <cellStyle name="Currency 5 2 2 5 4 2 3" xfId="12254" xr:uid="{71F6C4BF-AB6E-492D-A6D3-5FB00A028E35}"/>
    <cellStyle name="Currency 5 2 2 5 4 3" xfId="5888" xr:uid="{00000000-0005-0000-0000-0000160C0000}"/>
    <cellStyle name="Currency 5 2 2 5 4 3 2" xfId="14327" xr:uid="{05CF5914-49DC-4148-9625-19E7A1D475BC}"/>
    <cellStyle name="Currency 5 2 2 5 4 4" xfId="10109" xr:uid="{E85BA410-20CB-4395-BAA0-0E86818EC4B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16885" xr:uid="{A4297B8A-3F24-46E8-915F-C8C86BFE1F25}"/>
    <cellStyle name="Currency 5 2 2 5 5 2 3" xfId="12667" xr:uid="{D4448E9A-88AC-480D-AFDE-120FBBE86D43}"/>
    <cellStyle name="Currency 5 2 2 5 5 3" xfId="6301" xr:uid="{00000000-0005-0000-0000-00001A0C0000}"/>
    <cellStyle name="Currency 5 2 2 5 5 3 2" xfId="14740" xr:uid="{116D11A6-F750-4278-A8AF-52D2C1AAA899}"/>
    <cellStyle name="Currency 5 2 2 5 5 4" xfId="10522" xr:uid="{15001605-D5D1-48BA-ABF9-8933FC8EC5F9}"/>
    <cellStyle name="Currency 5 2 2 5 6" xfId="2429" xr:uid="{00000000-0005-0000-0000-00001B0C0000}"/>
    <cellStyle name="Currency 5 2 2 5 6 2" xfId="6714" xr:uid="{00000000-0005-0000-0000-00001C0C0000}"/>
    <cellStyle name="Currency 5 2 2 5 6 2 2" xfId="15153" xr:uid="{F3EFDC55-CF7B-46C6-8937-201732B0470D}"/>
    <cellStyle name="Currency 5 2 2 5 6 3" xfId="10935" xr:uid="{78F9A967-C7BC-439B-9346-A5C8663DABF4}"/>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15470" xr:uid="{E4ACC0A3-6A7C-402D-9828-AE43329DEA37}"/>
    <cellStyle name="Currency 5 2 2 5 8 3" xfId="11252" xr:uid="{9EE537BC-89E1-43F7-9309-2CF25E1C821B}"/>
    <cellStyle name="Currency 5 2 2 5 9" xfId="4648" xr:uid="{00000000-0005-0000-0000-0000200C0000}"/>
    <cellStyle name="Currency 5 2 2 5 9 2" xfId="13087" xr:uid="{AAFD9904-6F62-4E0D-BD6A-D4CDAB433FF6}"/>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13088" xr:uid="{488C9CBA-30B4-4EFA-B196-6D55502F61E7}"/>
    <cellStyle name="Currency 5 2 4 11" xfId="8870" xr:uid="{D9734362-1EFE-4D81-A230-33ECEF2D4E5C}"/>
    <cellStyle name="Currency 5 2 4 2" xfId="206" xr:uid="{00000000-0005-0000-0000-0000250C0000}"/>
    <cellStyle name="Currency 5 2 4 2 10" xfId="8871" xr:uid="{E1627408-E060-4963-91CF-C5446483D7AE}"/>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5648" xr:uid="{6EBE88D6-6498-4734-89BE-1922A477869F}"/>
    <cellStyle name="Currency 5 2 4 2 2 2 3" xfId="11430" xr:uid="{6C71B7F9-BA25-4F36-A718-643D6750D973}"/>
    <cellStyle name="Currency 5 2 4 2 2 3" xfId="5064" xr:uid="{00000000-0005-0000-0000-0000290C0000}"/>
    <cellStyle name="Currency 5 2 4 2 2 3 2" xfId="13503" xr:uid="{B44F5C24-0A73-40BB-907D-51624CF034A5}"/>
    <cellStyle name="Currency 5 2 4 2 2 4" xfId="9285" xr:uid="{6B778ABB-3765-46CA-9A99-6C25673D3D64}"/>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16061" xr:uid="{3791F1C9-0228-4870-9084-B5D7A0F44EBA}"/>
    <cellStyle name="Currency 5 2 4 2 3 2 3" xfId="11843" xr:uid="{678DD358-A914-44A1-8663-84B11416C1E3}"/>
    <cellStyle name="Currency 5 2 4 2 3 3" xfId="5477" xr:uid="{00000000-0005-0000-0000-00002D0C0000}"/>
    <cellStyle name="Currency 5 2 4 2 3 3 2" xfId="13916" xr:uid="{B0BD65ED-7D58-420A-A656-941C2E1F62CD}"/>
    <cellStyle name="Currency 5 2 4 2 3 4" xfId="9698" xr:uid="{3A26C63F-A85E-48E1-9295-AE87A80CE966}"/>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16474" xr:uid="{35DB6E0A-8368-4974-B201-0F99D4F5502B}"/>
    <cellStyle name="Currency 5 2 4 2 4 2 3" xfId="12256" xr:uid="{D50E07D8-9F6A-48E4-B16C-3221452C6C43}"/>
    <cellStyle name="Currency 5 2 4 2 4 3" xfId="5890" xr:uid="{00000000-0005-0000-0000-0000310C0000}"/>
    <cellStyle name="Currency 5 2 4 2 4 3 2" xfId="14329" xr:uid="{08285B0C-6189-4F62-87E6-D10017B34990}"/>
    <cellStyle name="Currency 5 2 4 2 4 4" xfId="10111" xr:uid="{AC816194-57EE-44CA-9662-1423DA75D4E9}"/>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16887" xr:uid="{0DCF1854-FF79-4BFC-B43B-1A9551C893BC}"/>
    <cellStyle name="Currency 5 2 4 2 5 2 3" xfId="12669" xr:uid="{25906328-7FF3-464A-B2AC-3410382939B9}"/>
    <cellStyle name="Currency 5 2 4 2 5 3" xfId="6303" xr:uid="{00000000-0005-0000-0000-0000350C0000}"/>
    <cellStyle name="Currency 5 2 4 2 5 3 2" xfId="14742" xr:uid="{C2180088-44EA-47D7-BEE9-E6810C10404C}"/>
    <cellStyle name="Currency 5 2 4 2 5 4" xfId="10524" xr:uid="{AFF695D0-FB26-41F0-9692-CD6E7602F870}"/>
    <cellStyle name="Currency 5 2 4 2 6" xfId="2431" xr:uid="{00000000-0005-0000-0000-0000360C0000}"/>
    <cellStyle name="Currency 5 2 4 2 6 2" xfId="6716" xr:uid="{00000000-0005-0000-0000-0000370C0000}"/>
    <cellStyle name="Currency 5 2 4 2 6 2 2" xfId="15155" xr:uid="{0990735F-9C0C-44E2-97A2-B0A17EBBAEA8}"/>
    <cellStyle name="Currency 5 2 4 2 6 3" xfId="10937" xr:uid="{32D15472-28A9-4A81-984F-BC7456C6A6C1}"/>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15472" xr:uid="{373662BD-5B46-40FB-8DF3-B85775BED9A1}"/>
    <cellStyle name="Currency 5 2 4 2 8 3" xfId="11254" xr:uid="{8AA76E11-E028-4CAB-AE56-F828E27AA99C}"/>
    <cellStyle name="Currency 5 2 4 2 9" xfId="4650" xr:uid="{00000000-0005-0000-0000-00003B0C0000}"/>
    <cellStyle name="Currency 5 2 4 2 9 2" xfId="13089" xr:uid="{27BD11A5-AF31-4263-A9AB-1944141BFD60}"/>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5647" xr:uid="{8D2C2AC6-3A9C-4500-8234-1BC3EBC6E8E4}"/>
    <cellStyle name="Currency 5 2 4 3 2 3" xfId="11429" xr:uid="{DDA51773-0060-4389-BE98-26DFF7FD01F5}"/>
    <cellStyle name="Currency 5 2 4 3 3" xfId="5063" xr:uid="{00000000-0005-0000-0000-00003F0C0000}"/>
    <cellStyle name="Currency 5 2 4 3 3 2" xfId="13502" xr:uid="{26A669FE-47FF-411C-B2AC-5DF7E06CF000}"/>
    <cellStyle name="Currency 5 2 4 3 4" xfId="9284" xr:uid="{9004B3AA-035F-4863-B03F-713914E3BE27}"/>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16060" xr:uid="{8CF72348-6802-4BDF-B849-ED0FF510ECDC}"/>
    <cellStyle name="Currency 5 2 4 4 2 3" xfId="11842" xr:uid="{95002380-DE88-4E9B-B6B9-2FD1A535FAB9}"/>
    <cellStyle name="Currency 5 2 4 4 3" xfId="5476" xr:uid="{00000000-0005-0000-0000-0000430C0000}"/>
    <cellStyle name="Currency 5 2 4 4 3 2" xfId="13915" xr:uid="{0423A4C1-938C-457B-9056-7906705DB0AA}"/>
    <cellStyle name="Currency 5 2 4 4 4" xfId="9697" xr:uid="{09AD35B5-0ADF-4BB5-ABAA-BF754B59A207}"/>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16473" xr:uid="{9B9F5816-9E44-464A-A59D-8AFBCBF5535B}"/>
    <cellStyle name="Currency 5 2 4 5 2 3" xfId="12255" xr:uid="{B95DACD3-CA5F-44E4-AD7B-5D742705B732}"/>
    <cellStyle name="Currency 5 2 4 5 3" xfId="5889" xr:uid="{00000000-0005-0000-0000-0000470C0000}"/>
    <cellStyle name="Currency 5 2 4 5 3 2" xfId="14328" xr:uid="{3BF9566E-F190-492A-9A3E-13EB4A6042A6}"/>
    <cellStyle name="Currency 5 2 4 5 4" xfId="10110" xr:uid="{4CFF4C45-3ADC-44E1-9E51-D4082ACA3BE3}"/>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16886" xr:uid="{1608468F-3EC5-4E38-84D0-5777C0BA0A61}"/>
    <cellStyle name="Currency 5 2 4 6 2 3" xfId="12668" xr:uid="{36687342-DCBB-4855-AD7E-BD6FD07344B0}"/>
    <cellStyle name="Currency 5 2 4 6 3" xfId="6302" xr:uid="{00000000-0005-0000-0000-00004B0C0000}"/>
    <cellStyle name="Currency 5 2 4 6 3 2" xfId="14741" xr:uid="{507AF798-0793-4427-9FD1-9C826D737A23}"/>
    <cellStyle name="Currency 5 2 4 6 4" xfId="10523" xr:uid="{22710FA9-4848-45EA-B055-485DFB363413}"/>
    <cellStyle name="Currency 5 2 4 7" xfId="2430" xr:uid="{00000000-0005-0000-0000-00004C0C0000}"/>
    <cellStyle name="Currency 5 2 4 7 2" xfId="6715" xr:uid="{00000000-0005-0000-0000-00004D0C0000}"/>
    <cellStyle name="Currency 5 2 4 7 2 2" xfId="15154" xr:uid="{B903FF1A-55A5-4683-B29B-DB71BB802BFF}"/>
    <cellStyle name="Currency 5 2 4 7 3" xfId="10936" xr:uid="{CE429B2B-6BBB-4347-BCAC-14B99034FF3D}"/>
    <cellStyle name="Currency 5 2 4 8" xfId="2727" xr:uid="{00000000-0005-0000-0000-00004E0C0000}"/>
    <cellStyle name="Currency 5 2 4 9" xfId="2808" xr:uid="{00000000-0005-0000-0000-00004F0C0000}"/>
    <cellStyle name="Currency 5 2 4 9 2" xfId="7032" xr:uid="{00000000-0005-0000-0000-0000500C0000}"/>
    <cellStyle name="Currency 5 2 4 9 2 2" xfId="15471" xr:uid="{1134F7EC-E83A-4D5F-94B1-91C40AEFC41C}"/>
    <cellStyle name="Currency 5 2 4 9 3" xfId="11253" xr:uid="{A1E7A55C-5578-4108-95B4-A639C4C06D7A}"/>
    <cellStyle name="Currency 5 2 5" xfId="207" xr:uid="{00000000-0005-0000-0000-0000510C0000}"/>
    <cellStyle name="Currency 5 2 5 10" xfId="8872" xr:uid="{AA9E5734-77A0-411A-9BCF-F33F66BB24AF}"/>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5649" xr:uid="{126D66E4-5817-4F31-8B28-A2DCDE2BD27C}"/>
    <cellStyle name="Currency 5 2 5 2 2 3" xfId="11431" xr:uid="{326AC9EE-30E1-462D-8F30-DC69D71F055A}"/>
    <cellStyle name="Currency 5 2 5 2 3" xfId="5065" xr:uid="{00000000-0005-0000-0000-0000550C0000}"/>
    <cellStyle name="Currency 5 2 5 2 3 2" xfId="13504" xr:uid="{C3CFB784-1801-4F57-832E-D26351359945}"/>
    <cellStyle name="Currency 5 2 5 2 4" xfId="9286" xr:uid="{D470E048-2389-4058-9AD0-61F0E87B2D98}"/>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16062" xr:uid="{316CDEBF-ECD3-4946-A811-60A07108C088}"/>
    <cellStyle name="Currency 5 2 5 3 2 3" xfId="11844" xr:uid="{1DB9AFB9-86D8-4111-A133-AEA89FF94241}"/>
    <cellStyle name="Currency 5 2 5 3 3" xfId="5478" xr:uid="{00000000-0005-0000-0000-0000590C0000}"/>
    <cellStyle name="Currency 5 2 5 3 3 2" xfId="13917" xr:uid="{89A38EE7-A4C5-46E9-9993-CAC6C6EBEF42}"/>
    <cellStyle name="Currency 5 2 5 3 4" xfId="9699" xr:uid="{C25492B8-AF88-4F88-8090-EB1304BC8C65}"/>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16475" xr:uid="{A4315B43-9859-4716-9F7D-3A2B5BEB7D4C}"/>
    <cellStyle name="Currency 5 2 5 4 2 3" xfId="12257" xr:uid="{A8E4C335-E10A-4538-81A8-EF8FB352C016}"/>
    <cellStyle name="Currency 5 2 5 4 3" xfId="5891" xr:uid="{00000000-0005-0000-0000-00005D0C0000}"/>
    <cellStyle name="Currency 5 2 5 4 3 2" xfId="14330" xr:uid="{4C1D6730-0938-4D7F-90BF-FBDC57B0BC21}"/>
    <cellStyle name="Currency 5 2 5 4 4" xfId="10112" xr:uid="{7854C595-34FB-4AD5-89F6-CD095F364521}"/>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16888" xr:uid="{EDB75D89-A1D7-492D-A4CE-E36DAA9A4E41}"/>
    <cellStyle name="Currency 5 2 5 5 2 3" xfId="12670" xr:uid="{F80CB411-252B-4BE8-8DAD-84A97E275B3B}"/>
    <cellStyle name="Currency 5 2 5 5 3" xfId="6304" xr:uid="{00000000-0005-0000-0000-0000610C0000}"/>
    <cellStyle name="Currency 5 2 5 5 3 2" xfId="14743" xr:uid="{E532B04F-BB95-49EB-A4D5-2C151B4B2900}"/>
    <cellStyle name="Currency 5 2 5 5 4" xfId="10525" xr:uid="{C71B6DB0-3CDA-41C6-8BAF-061EB1E8471F}"/>
    <cellStyle name="Currency 5 2 5 6" xfId="2432" xr:uid="{00000000-0005-0000-0000-0000620C0000}"/>
    <cellStyle name="Currency 5 2 5 6 2" xfId="6717" xr:uid="{00000000-0005-0000-0000-0000630C0000}"/>
    <cellStyle name="Currency 5 2 5 6 2 2" xfId="15156" xr:uid="{F3AC96B4-BA49-4F37-B976-454372383B70}"/>
    <cellStyle name="Currency 5 2 5 6 3" xfId="10938" xr:uid="{CE0C245D-1ADD-4F52-AE0C-2BCF51AB095A}"/>
    <cellStyle name="Currency 5 2 5 7" xfId="2729" xr:uid="{00000000-0005-0000-0000-0000640C0000}"/>
    <cellStyle name="Currency 5 2 5 8" xfId="2810" xr:uid="{00000000-0005-0000-0000-0000650C0000}"/>
    <cellStyle name="Currency 5 2 5 8 2" xfId="7034" xr:uid="{00000000-0005-0000-0000-0000660C0000}"/>
    <cellStyle name="Currency 5 2 5 8 2 2" xfId="15473" xr:uid="{5593EB55-F7B1-4E6C-8709-1F8676694001}"/>
    <cellStyle name="Currency 5 2 5 8 3" xfId="11255" xr:uid="{62B38AC8-63C8-4A4C-8A44-5DD7894BED37}"/>
    <cellStyle name="Currency 5 2 5 9" xfId="4651" xr:uid="{00000000-0005-0000-0000-0000670C0000}"/>
    <cellStyle name="Currency 5 2 5 9 2" xfId="13090" xr:uid="{B3A1D26E-BA13-4C48-A166-60BB8E917000}"/>
    <cellStyle name="Currency 5 2 6" xfId="208" xr:uid="{00000000-0005-0000-0000-0000680C0000}"/>
    <cellStyle name="Currency 5 2 6 10" xfId="8873" xr:uid="{709FF5E7-9488-44AD-BCFE-E5E45F584412}"/>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5650" xr:uid="{E1ED7752-38C4-449D-A4CE-A32EB90F9D60}"/>
    <cellStyle name="Currency 5 2 6 2 2 3" xfId="11432" xr:uid="{66797EEB-E0ED-4CD5-8409-3B7769D5C37F}"/>
    <cellStyle name="Currency 5 2 6 2 3" xfId="5066" xr:uid="{00000000-0005-0000-0000-00006C0C0000}"/>
    <cellStyle name="Currency 5 2 6 2 3 2" xfId="13505" xr:uid="{FC0F8C3F-756C-404E-9BB6-2E23A7361693}"/>
    <cellStyle name="Currency 5 2 6 2 4" xfId="9287" xr:uid="{F4A890E1-2061-48FA-B919-D817A1480062}"/>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16063" xr:uid="{23189A2C-8A7A-4E0E-898F-2A62695FB1DF}"/>
    <cellStyle name="Currency 5 2 6 3 2 3" xfId="11845" xr:uid="{A2FB7E1D-1586-41A8-8FEF-C5F746C5CC24}"/>
    <cellStyle name="Currency 5 2 6 3 3" xfId="5479" xr:uid="{00000000-0005-0000-0000-0000700C0000}"/>
    <cellStyle name="Currency 5 2 6 3 3 2" xfId="13918" xr:uid="{51231462-911B-4CAB-90A1-E6A7BB74A7A7}"/>
    <cellStyle name="Currency 5 2 6 3 4" xfId="9700" xr:uid="{7174A655-ACD5-4B50-96B9-D910EA2EC5E7}"/>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16476" xr:uid="{51CCF160-9431-4B88-A200-F61BE78D0B8E}"/>
    <cellStyle name="Currency 5 2 6 4 2 3" xfId="12258" xr:uid="{4E25250E-805F-4BA7-8E50-6842D31903A7}"/>
    <cellStyle name="Currency 5 2 6 4 3" xfId="5892" xr:uid="{00000000-0005-0000-0000-0000740C0000}"/>
    <cellStyle name="Currency 5 2 6 4 3 2" xfId="14331" xr:uid="{DC004A53-EFDC-47A6-B295-2F995CCFAF99}"/>
    <cellStyle name="Currency 5 2 6 4 4" xfId="10113" xr:uid="{46673C70-8C54-4FB3-B3FA-DB5B8FFECA78}"/>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16889" xr:uid="{4E0062F4-655F-46FB-8CDC-872E39337C54}"/>
    <cellStyle name="Currency 5 2 6 5 2 3" xfId="12671" xr:uid="{F9B3F8F9-2DD8-45E8-B3D4-A1CA85B35CAC}"/>
    <cellStyle name="Currency 5 2 6 5 3" xfId="6305" xr:uid="{00000000-0005-0000-0000-0000780C0000}"/>
    <cellStyle name="Currency 5 2 6 5 3 2" xfId="14744" xr:uid="{469C9460-E16D-4F1C-A49B-5D0374D81AD9}"/>
    <cellStyle name="Currency 5 2 6 5 4" xfId="10526" xr:uid="{71C81127-57AE-4DB8-9F52-6083DE563466}"/>
    <cellStyle name="Currency 5 2 6 6" xfId="2433" xr:uid="{00000000-0005-0000-0000-0000790C0000}"/>
    <cellStyle name="Currency 5 2 6 6 2" xfId="6718" xr:uid="{00000000-0005-0000-0000-00007A0C0000}"/>
    <cellStyle name="Currency 5 2 6 6 2 2" xfId="15157" xr:uid="{02D0F2CD-115C-4AF4-9A99-DC867AE4C949}"/>
    <cellStyle name="Currency 5 2 6 6 3" xfId="10939" xr:uid="{8127CC6C-82E0-4958-BCFA-12B4C5E6D201}"/>
    <cellStyle name="Currency 5 2 6 7" xfId="2730" xr:uid="{00000000-0005-0000-0000-00007B0C0000}"/>
    <cellStyle name="Currency 5 2 6 8" xfId="2811" xr:uid="{00000000-0005-0000-0000-00007C0C0000}"/>
    <cellStyle name="Currency 5 2 6 8 2" xfId="7035" xr:uid="{00000000-0005-0000-0000-00007D0C0000}"/>
    <cellStyle name="Currency 5 2 6 8 2 2" xfId="15474" xr:uid="{8007ED1C-E172-4225-9A7A-F8F5EEF63A3F}"/>
    <cellStyle name="Currency 5 2 6 8 3" xfId="11256" xr:uid="{16E7FF91-BC1C-4349-A023-4A8709AE220D}"/>
    <cellStyle name="Currency 5 2 6 9" xfId="4652" xr:uid="{00000000-0005-0000-0000-00007E0C0000}"/>
    <cellStyle name="Currency 5 2 6 9 2" xfId="13091" xr:uid="{CB924C08-9B44-4F3C-8727-F5F77DF5EF01}"/>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15475" xr:uid="{95B9AA3F-F72A-4789-BC17-F2FBE0138EC3}"/>
    <cellStyle name="Currency 5 3 2 10 3" xfId="11257" xr:uid="{FB40B46A-B082-4867-869B-1E3A56795878}"/>
    <cellStyle name="Currency 5 3 2 11" xfId="4653" xr:uid="{00000000-0005-0000-0000-0000840C0000}"/>
    <cellStyle name="Currency 5 3 2 11 2" xfId="13092" xr:uid="{ADE43325-4D3D-49A7-9FE2-0FD25E3D1CE8}"/>
    <cellStyle name="Currency 5 3 2 12" xfId="8874" xr:uid="{9150C7AE-A67C-4CDD-A306-256F9D71265F}"/>
    <cellStyle name="Currency 5 3 2 2" xfId="211" xr:uid="{00000000-0005-0000-0000-0000850C0000}"/>
    <cellStyle name="Currency 5 3 2 2 10" xfId="4654" xr:uid="{00000000-0005-0000-0000-0000860C0000}"/>
    <cellStyle name="Currency 5 3 2 2 10 2" xfId="13093" xr:uid="{4C05FB75-02CF-4B82-A50A-E9DF1B90DCE9}"/>
    <cellStyle name="Currency 5 3 2 2 11" xfId="8875" xr:uid="{1E9EB572-0AAD-46A7-9DE0-D663D193A58A}"/>
    <cellStyle name="Currency 5 3 2 2 2" xfId="212" xr:uid="{00000000-0005-0000-0000-0000870C0000}"/>
    <cellStyle name="Currency 5 3 2 2 2 10" xfId="8876" xr:uid="{DD7B6D5B-CAA7-423F-8E96-F23DCE2A754A}"/>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5653" xr:uid="{9D7DE3D9-C4BD-4CBE-A3D6-2224888E024F}"/>
    <cellStyle name="Currency 5 3 2 2 2 2 2 3" xfId="11435" xr:uid="{5C394A33-14C9-4C79-AF69-B487549AD05D}"/>
    <cellStyle name="Currency 5 3 2 2 2 2 3" xfId="5069" xr:uid="{00000000-0005-0000-0000-00008B0C0000}"/>
    <cellStyle name="Currency 5 3 2 2 2 2 3 2" xfId="13508" xr:uid="{D09B3BAB-728E-4A6F-8FEA-AF1AAFFE4E44}"/>
    <cellStyle name="Currency 5 3 2 2 2 2 4" xfId="9290" xr:uid="{892482A5-70FF-4E86-B2AC-5A920AA57D4D}"/>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16066" xr:uid="{8591F941-7690-439C-A1D4-FD71076AE772}"/>
    <cellStyle name="Currency 5 3 2 2 2 3 2 3" xfId="11848" xr:uid="{EFD47978-0EF6-4620-81DC-F95D8F32E435}"/>
    <cellStyle name="Currency 5 3 2 2 2 3 3" xfId="5482" xr:uid="{00000000-0005-0000-0000-00008F0C0000}"/>
    <cellStyle name="Currency 5 3 2 2 2 3 3 2" xfId="13921" xr:uid="{6BDAB90B-DB5C-434B-A684-0293AF81011B}"/>
    <cellStyle name="Currency 5 3 2 2 2 3 4" xfId="9703" xr:uid="{CEE75B31-9B42-4A31-A47A-BA2990EC283A}"/>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16479" xr:uid="{D350D273-02F7-43CE-9186-91FD88200D3A}"/>
    <cellStyle name="Currency 5 3 2 2 2 4 2 3" xfId="12261" xr:uid="{A7D3E3C0-F437-4B2E-9AFF-FC124F6AB872}"/>
    <cellStyle name="Currency 5 3 2 2 2 4 3" xfId="5895" xr:uid="{00000000-0005-0000-0000-0000930C0000}"/>
    <cellStyle name="Currency 5 3 2 2 2 4 3 2" xfId="14334" xr:uid="{32ECCE84-7C89-4FC9-BDAC-85A27159A3B8}"/>
    <cellStyle name="Currency 5 3 2 2 2 4 4" xfId="10116" xr:uid="{F877326A-F3A6-4475-A8D0-300048110C01}"/>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16892" xr:uid="{80E9E139-B002-46D5-81B7-84263668E0E8}"/>
    <cellStyle name="Currency 5 3 2 2 2 5 2 3" xfId="12674" xr:uid="{444C40DF-3DCA-4177-B0DE-20E20D5D3076}"/>
    <cellStyle name="Currency 5 3 2 2 2 5 3" xfId="6308" xr:uid="{00000000-0005-0000-0000-0000970C0000}"/>
    <cellStyle name="Currency 5 3 2 2 2 5 3 2" xfId="14747" xr:uid="{BE5013D6-813F-4F52-8790-989317F7E36E}"/>
    <cellStyle name="Currency 5 3 2 2 2 5 4" xfId="10529" xr:uid="{02E461BB-22FF-4E5D-A863-985CA123E3B0}"/>
    <cellStyle name="Currency 5 3 2 2 2 6" xfId="2436" xr:uid="{00000000-0005-0000-0000-0000980C0000}"/>
    <cellStyle name="Currency 5 3 2 2 2 6 2" xfId="6721" xr:uid="{00000000-0005-0000-0000-0000990C0000}"/>
    <cellStyle name="Currency 5 3 2 2 2 6 2 2" xfId="15160" xr:uid="{A7999C20-1792-47A9-A9A1-7462879D89A5}"/>
    <cellStyle name="Currency 5 3 2 2 2 6 3" xfId="10942" xr:uid="{E89356FF-5C25-4F9A-ABE4-5E771D7109DA}"/>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15477" xr:uid="{CD305233-38D4-4973-BCEB-065481DF70BA}"/>
    <cellStyle name="Currency 5 3 2 2 2 8 3" xfId="11259" xr:uid="{99FC80C6-E25C-46D4-AE34-802793517C69}"/>
    <cellStyle name="Currency 5 3 2 2 2 9" xfId="4655" xr:uid="{00000000-0005-0000-0000-00009D0C0000}"/>
    <cellStyle name="Currency 5 3 2 2 2 9 2" xfId="13094" xr:uid="{85A52D37-7075-40C6-93A9-A504FB824A0E}"/>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5652" xr:uid="{05936CE8-E0BC-4A55-9807-C3417307ADF2}"/>
    <cellStyle name="Currency 5 3 2 2 3 2 3" xfId="11434" xr:uid="{0A429198-42F6-4F3F-A639-4DD5FD0C464F}"/>
    <cellStyle name="Currency 5 3 2 2 3 3" xfId="5068" xr:uid="{00000000-0005-0000-0000-0000A10C0000}"/>
    <cellStyle name="Currency 5 3 2 2 3 3 2" xfId="13507" xr:uid="{C0E6CDE2-F74F-4177-AA39-FD809A536CB2}"/>
    <cellStyle name="Currency 5 3 2 2 3 4" xfId="9289" xr:uid="{6735AE70-7B1A-4161-B60E-92FA3089D1FF}"/>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16065" xr:uid="{164BA393-117B-4561-9E39-79E6DAA1B45F}"/>
    <cellStyle name="Currency 5 3 2 2 4 2 3" xfId="11847" xr:uid="{6BC27070-771A-4519-80B7-2B01E6FB93EB}"/>
    <cellStyle name="Currency 5 3 2 2 4 3" xfId="5481" xr:uid="{00000000-0005-0000-0000-0000A50C0000}"/>
    <cellStyle name="Currency 5 3 2 2 4 3 2" xfId="13920" xr:uid="{C7C8F04E-B48E-4BD2-9E87-E8A2DEDAFF7F}"/>
    <cellStyle name="Currency 5 3 2 2 4 4" xfId="9702" xr:uid="{062B4899-69F7-4F27-857D-F6CD24D620C4}"/>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16478" xr:uid="{2335DFB9-1DFE-4823-9FFD-2F48EF32940A}"/>
    <cellStyle name="Currency 5 3 2 2 5 2 3" xfId="12260" xr:uid="{CAEBA5CA-D4EE-4032-8F57-0C509DDB86C6}"/>
    <cellStyle name="Currency 5 3 2 2 5 3" xfId="5894" xr:uid="{00000000-0005-0000-0000-0000A90C0000}"/>
    <cellStyle name="Currency 5 3 2 2 5 3 2" xfId="14333" xr:uid="{6587578B-2596-453A-AD21-6761D755F277}"/>
    <cellStyle name="Currency 5 3 2 2 5 4" xfId="10115" xr:uid="{90F3F946-229C-4B6C-9CFE-0DF2685374B6}"/>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16891" xr:uid="{CB17663B-778E-4A2A-991C-F079F7B8E363}"/>
    <cellStyle name="Currency 5 3 2 2 6 2 3" xfId="12673" xr:uid="{B74882EA-98C4-4BF0-8EDD-1DA961E431E6}"/>
    <cellStyle name="Currency 5 3 2 2 6 3" xfId="6307" xr:uid="{00000000-0005-0000-0000-0000AD0C0000}"/>
    <cellStyle name="Currency 5 3 2 2 6 3 2" xfId="14746" xr:uid="{2704DD3D-3EC6-4132-87F5-EA01ECD0C1F7}"/>
    <cellStyle name="Currency 5 3 2 2 6 4" xfId="10528" xr:uid="{C1E12E3A-CAAA-4967-96EC-1A1E69188A33}"/>
    <cellStyle name="Currency 5 3 2 2 7" xfId="2435" xr:uid="{00000000-0005-0000-0000-0000AE0C0000}"/>
    <cellStyle name="Currency 5 3 2 2 7 2" xfId="6720" xr:uid="{00000000-0005-0000-0000-0000AF0C0000}"/>
    <cellStyle name="Currency 5 3 2 2 7 2 2" xfId="15159" xr:uid="{3AC3E17A-A2B7-4DE2-A993-28E92FB03697}"/>
    <cellStyle name="Currency 5 3 2 2 7 3" xfId="10941" xr:uid="{65D028F2-E561-4F07-BA43-51EFBA9E7131}"/>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15476" xr:uid="{D1B7D830-0F7C-4D93-BDDC-31FE1620E0FD}"/>
    <cellStyle name="Currency 5 3 2 2 9 3" xfId="11258" xr:uid="{0459F5C6-D7DA-4C76-8717-43D9D40EC8A9}"/>
    <cellStyle name="Currency 5 3 2 3" xfId="213" xr:uid="{00000000-0005-0000-0000-0000B30C0000}"/>
    <cellStyle name="Currency 5 3 2 3 10" xfId="8877" xr:uid="{B921FC66-3FCA-4B6E-907A-40ABA34E00F1}"/>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5654" xr:uid="{6876E90D-1D8C-4EF0-90DA-7BA4D1766E5E}"/>
    <cellStyle name="Currency 5 3 2 3 2 2 3" xfId="11436" xr:uid="{055ADDBA-2D43-4382-8317-A6052CDCCC32}"/>
    <cellStyle name="Currency 5 3 2 3 2 3" xfId="5070" xr:uid="{00000000-0005-0000-0000-0000B70C0000}"/>
    <cellStyle name="Currency 5 3 2 3 2 3 2" xfId="13509" xr:uid="{7EAC1FD9-3D9D-4AF6-888C-6D384C87CD65}"/>
    <cellStyle name="Currency 5 3 2 3 2 4" xfId="9291" xr:uid="{286A6415-CA75-4BD6-877A-04236FA52F3E}"/>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16067" xr:uid="{1E22D82C-F085-4179-86D2-57E9A1F299A1}"/>
    <cellStyle name="Currency 5 3 2 3 3 2 3" xfId="11849" xr:uid="{3FED09C7-FC72-477B-A249-04CA62A5D6BB}"/>
    <cellStyle name="Currency 5 3 2 3 3 3" xfId="5483" xr:uid="{00000000-0005-0000-0000-0000BB0C0000}"/>
    <cellStyle name="Currency 5 3 2 3 3 3 2" xfId="13922" xr:uid="{DBCE7FAD-E009-45BD-9F6D-3CA54023AC94}"/>
    <cellStyle name="Currency 5 3 2 3 3 4" xfId="9704" xr:uid="{1F4862CC-6BEC-41CB-97A6-45D1DE1D3666}"/>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16480" xr:uid="{EE864E19-59B1-49BD-90FE-6807E4AB71D9}"/>
    <cellStyle name="Currency 5 3 2 3 4 2 3" xfId="12262" xr:uid="{263EBC74-FE68-4CF7-A733-430F8C8DFAAE}"/>
    <cellStyle name="Currency 5 3 2 3 4 3" xfId="5896" xr:uid="{00000000-0005-0000-0000-0000BF0C0000}"/>
    <cellStyle name="Currency 5 3 2 3 4 3 2" xfId="14335" xr:uid="{2ADB3398-A891-4A59-AD1E-5E50A8453C7E}"/>
    <cellStyle name="Currency 5 3 2 3 4 4" xfId="10117" xr:uid="{E2D52BA9-A491-41B4-BB76-A875C6C96D5F}"/>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16893" xr:uid="{8FE055BF-4637-4348-80C8-E9DB942F0E23}"/>
    <cellStyle name="Currency 5 3 2 3 5 2 3" xfId="12675" xr:uid="{0DD6DAEB-BE0A-4CBF-A8B2-E6AB1B30588E}"/>
    <cellStyle name="Currency 5 3 2 3 5 3" xfId="6309" xr:uid="{00000000-0005-0000-0000-0000C30C0000}"/>
    <cellStyle name="Currency 5 3 2 3 5 3 2" xfId="14748" xr:uid="{1D6E46C0-0C95-45CD-A3B7-2A432049DD8A}"/>
    <cellStyle name="Currency 5 3 2 3 5 4" xfId="10530" xr:uid="{96474776-68E1-4828-9BD9-C9FB47D02F36}"/>
    <cellStyle name="Currency 5 3 2 3 6" xfId="2437" xr:uid="{00000000-0005-0000-0000-0000C40C0000}"/>
    <cellStyle name="Currency 5 3 2 3 6 2" xfId="6722" xr:uid="{00000000-0005-0000-0000-0000C50C0000}"/>
    <cellStyle name="Currency 5 3 2 3 6 2 2" xfId="15161" xr:uid="{A5B9F3A7-8F4B-4EE2-87AD-2151985EB3AE}"/>
    <cellStyle name="Currency 5 3 2 3 6 3" xfId="10943" xr:uid="{29265DC6-E6EB-4705-BCDF-5CFD476CED11}"/>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15478" xr:uid="{7252F2F0-4334-4A39-80B4-A7091A3A37B8}"/>
    <cellStyle name="Currency 5 3 2 3 8 3" xfId="11260" xr:uid="{28260925-6310-4481-9B1A-2C027B54BBF4}"/>
    <cellStyle name="Currency 5 3 2 3 9" xfId="4656" xr:uid="{00000000-0005-0000-0000-0000C90C0000}"/>
    <cellStyle name="Currency 5 3 2 3 9 2" xfId="13095" xr:uid="{69F007DA-7E41-4939-B450-4CDA72E5CA50}"/>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5651" xr:uid="{D3B12AC4-2DBD-4CD1-97DD-B63B366904B3}"/>
    <cellStyle name="Currency 5 3 2 4 2 3" xfId="11433" xr:uid="{5720CEB2-02AB-49D6-8414-6012FAB40927}"/>
    <cellStyle name="Currency 5 3 2 4 3" xfId="5067" xr:uid="{00000000-0005-0000-0000-0000CD0C0000}"/>
    <cellStyle name="Currency 5 3 2 4 3 2" xfId="13506" xr:uid="{FB38E6CB-E510-48DE-A198-7510236F78A8}"/>
    <cellStyle name="Currency 5 3 2 4 4" xfId="9288" xr:uid="{2B089866-6488-4593-96F6-09D1C31D29F8}"/>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16064" xr:uid="{60D9D5C1-593B-4F6F-A428-63E1499978EA}"/>
    <cellStyle name="Currency 5 3 2 5 2 3" xfId="11846" xr:uid="{51FA40D2-BAC1-4706-B5B8-9E39A0628530}"/>
    <cellStyle name="Currency 5 3 2 5 3" xfId="5480" xr:uid="{00000000-0005-0000-0000-0000D10C0000}"/>
    <cellStyle name="Currency 5 3 2 5 3 2" xfId="13919" xr:uid="{D949C8C3-6296-4EBD-8C04-9973CE5B90A0}"/>
    <cellStyle name="Currency 5 3 2 5 4" xfId="9701" xr:uid="{4CD56D64-665A-4521-A0CD-A336AE4A20A1}"/>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16477" xr:uid="{10B11A50-9120-496A-86C6-1FDF8FCF7289}"/>
    <cellStyle name="Currency 5 3 2 6 2 3" xfId="12259" xr:uid="{793A77E8-F0D0-49E1-9FA6-D4D539634652}"/>
    <cellStyle name="Currency 5 3 2 6 3" xfId="5893" xr:uid="{00000000-0005-0000-0000-0000D50C0000}"/>
    <cellStyle name="Currency 5 3 2 6 3 2" xfId="14332" xr:uid="{27297121-385A-442E-9639-0D5E1AA8571C}"/>
    <cellStyle name="Currency 5 3 2 6 4" xfId="10114" xr:uid="{B326AB28-8C46-4B06-AE91-A8E6CFA4BC0F}"/>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16890" xr:uid="{07F7C862-CFDE-4A55-93F2-A4864F56CA93}"/>
    <cellStyle name="Currency 5 3 2 7 2 3" xfId="12672" xr:uid="{C17A94C9-84E7-4A8E-8FE5-7E36A117682D}"/>
    <cellStyle name="Currency 5 3 2 7 3" xfId="6306" xr:uid="{00000000-0005-0000-0000-0000D90C0000}"/>
    <cellStyle name="Currency 5 3 2 7 3 2" xfId="14745" xr:uid="{3F157483-4AE8-4397-A2F0-6C3D4902BC65}"/>
    <cellStyle name="Currency 5 3 2 7 4" xfId="10527" xr:uid="{AA6A3E54-8D7B-4088-B968-C521C1D9B90B}"/>
    <cellStyle name="Currency 5 3 2 8" xfId="2434" xr:uid="{00000000-0005-0000-0000-0000DA0C0000}"/>
    <cellStyle name="Currency 5 3 2 8 2" xfId="6719" xr:uid="{00000000-0005-0000-0000-0000DB0C0000}"/>
    <cellStyle name="Currency 5 3 2 8 2 2" xfId="15158" xr:uid="{D2800999-FEF2-4902-9A4F-B6F870DC4CC7}"/>
    <cellStyle name="Currency 5 3 2 8 3" xfId="10940" xr:uid="{E7E7D07B-B26B-457F-9058-DDC0B1E3F27F}"/>
    <cellStyle name="Currency 5 3 2 9" xfId="2731" xr:uid="{00000000-0005-0000-0000-0000DC0C0000}"/>
    <cellStyle name="Currency 5 3 3" xfId="214" xr:uid="{00000000-0005-0000-0000-0000DD0C0000}"/>
    <cellStyle name="Currency 5 3 3 10" xfId="4657" xr:uid="{00000000-0005-0000-0000-0000DE0C0000}"/>
    <cellStyle name="Currency 5 3 3 10 2" xfId="13096" xr:uid="{CFD5CF1C-D63C-419E-B54C-CEB2528F581E}"/>
    <cellStyle name="Currency 5 3 3 11" xfId="8878" xr:uid="{832E849B-E98D-4332-849E-22D1EE119CE5}"/>
    <cellStyle name="Currency 5 3 3 2" xfId="215" xr:uid="{00000000-0005-0000-0000-0000DF0C0000}"/>
    <cellStyle name="Currency 5 3 3 2 10" xfId="8879" xr:uid="{8FC8E31F-EEAD-4368-B5CC-00B2FB42F091}"/>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5656" xr:uid="{36DF6A7A-C5E1-436F-B5AD-8F826E443A3A}"/>
    <cellStyle name="Currency 5 3 3 2 2 2 3" xfId="11438" xr:uid="{2119AA49-9F58-4B39-A91F-3EAD1DFC3C5F}"/>
    <cellStyle name="Currency 5 3 3 2 2 3" xfId="5072" xr:uid="{00000000-0005-0000-0000-0000E30C0000}"/>
    <cellStyle name="Currency 5 3 3 2 2 3 2" xfId="13511" xr:uid="{FB94E035-2F26-4950-9877-5FFD9A8C9163}"/>
    <cellStyle name="Currency 5 3 3 2 2 4" xfId="9293" xr:uid="{AE7470CB-93D6-412B-BAC9-2536586A71E8}"/>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16069" xr:uid="{F1CC76C9-ED0E-4A10-8B9C-2F2AF83AE929}"/>
    <cellStyle name="Currency 5 3 3 2 3 2 3" xfId="11851" xr:uid="{EBAEC3FC-0EC8-4D66-92AB-1BEB2F4AED2C}"/>
    <cellStyle name="Currency 5 3 3 2 3 3" xfId="5485" xr:uid="{00000000-0005-0000-0000-0000E70C0000}"/>
    <cellStyle name="Currency 5 3 3 2 3 3 2" xfId="13924" xr:uid="{6D93A434-C64D-4016-8885-8A376EAF9259}"/>
    <cellStyle name="Currency 5 3 3 2 3 4" xfId="9706" xr:uid="{6ADACA2D-04F6-4F02-A74C-10A98D89D933}"/>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16482" xr:uid="{08B141BD-EA3A-4CFF-B998-1D6206625A75}"/>
    <cellStyle name="Currency 5 3 3 2 4 2 3" xfId="12264" xr:uid="{96796814-D214-43BD-A0B3-CE389EF5E968}"/>
    <cellStyle name="Currency 5 3 3 2 4 3" xfId="5898" xr:uid="{00000000-0005-0000-0000-0000EB0C0000}"/>
    <cellStyle name="Currency 5 3 3 2 4 3 2" xfId="14337" xr:uid="{B6350173-673E-4CEB-8A89-9DC52A6D1965}"/>
    <cellStyle name="Currency 5 3 3 2 4 4" xfId="10119" xr:uid="{271A60E0-E3FD-4E51-B7D6-5758C07D2C4D}"/>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16895" xr:uid="{911836F5-667C-435F-9FBF-4A228E5E2CDA}"/>
    <cellStyle name="Currency 5 3 3 2 5 2 3" xfId="12677" xr:uid="{E1C63C17-28B7-492F-983A-498EC62C89A2}"/>
    <cellStyle name="Currency 5 3 3 2 5 3" xfId="6311" xr:uid="{00000000-0005-0000-0000-0000EF0C0000}"/>
    <cellStyle name="Currency 5 3 3 2 5 3 2" xfId="14750" xr:uid="{1E9B43BC-478D-4D5E-A237-596256A0D862}"/>
    <cellStyle name="Currency 5 3 3 2 5 4" xfId="10532" xr:uid="{1BAA1C93-490F-4AB4-B2FF-CDD230862A77}"/>
    <cellStyle name="Currency 5 3 3 2 6" xfId="2439" xr:uid="{00000000-0005-0000-0000-0000F00C0000}"/>
    <cellStyle name="Currency 5 3 3 2 6 2" xfId="6724" xr:uid="{00000000-0005-0000-0000-0000F10C0000}"/>
    <cellStyle name="Currency 5 3 3 2 6 2 2" xfId="15163" xr:uid="{1AF53EBF-8EB8-43E4-8EAC-A2C714BD2B39}"/>
    <cellStyle name="Currency 5 3 3 2 6 3" xfId="10945" xr:uid="{F7D685BF-9A87-45CF-9D5A-397B075CBC59}"/>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15480" xr:uid="{1399524A-4353-4D64-AB02-8EFFF426980F}"/>
    <cellStyle name="Currency 5 3 3 2 8 3" xfId="11262" xr:uid="{BDC52967-6C39-41E2-B034-2D6EAC3A6E15}"/>
    <cellStyle name="Currency 5 3 3 2 9" xfId="4658" xr:uid="{00000000-0005-0000-0000-0000F50C0000}"/>
    <cellStyle name="Currency 5 3 3 2 9 2" xfId="13097" xr:uid="{5E82939F-06C8-46C6-A635-B093F1AA4794}"/>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5655" xr:uid="{D43538CF-0BEF-4A30-AFDC-5B1AC0893FCA}"/>
    <cellStyle name="Currency 5 3 3 3 2 3" xfId="11437" xr:uid="{53479187-8F7C-4B4A-81E2-4FE534962A6B}"/>
    <cellStyle name="Currency 5 3 3 3 3" xfId="5071" xr:uid="{00000000-0005-0000-0000-0000F90C0000}"/>
    <cellStyle name="Currency 5 3 3 3 3 2" xfId="13510" xr:uid="{4C9A8E12-3BF9-4100-BA89-9D71DFBD84C7}"/>
    <cellStyle name="Currency 5 3 3 3 4" xfId="9292" xr:uid="{1AE301B4-9482-47B3-BDA8-DCE3D73D47CC}"/>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16068" xr:uid="{749DF0D7-508E-4DE3-8A0E-B90BA76E0C6B}"/>
    <cellStyle name="Currency 5 3 3 4 2 3" xfId="11850" xr:uid="{7BE87EC0-CB95-4908-B81C-00B94F364A88}"/>
    <cellStyle name="Currency 5 3 3 4 3" xfId="5484" xr:uid="{00000000-0005-0000-0000-0000FD0C0000}"/>
    <cellStyle name="Currency 5 3 3 4 3 2" xfId="13923" xr:uid="{5A82C5CC-1E22-4F5B-BEB1-3C52CA09F3A7}"/>
    <cellStyle name="Currency 5 3 3 4 4" xfId="9705" xr:uid="{13D822EA-800B-49DF-AF56-C7DD248F3149}"/>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16481" xr:uid="{3688E6F3-D3AE-4D04-A54F-C7B354F92F5B}"/>
    <cellStyle name="Currency 5 3 3 5 2 3" xfId="12263" xr:uid="{A8410186-C4DB-4C3E-A942-D2FDC394E2ED}"/>
    <cellStyle name="Currency 5 3 3 5 3" xfId="5897" xr:uid="{00000000-0005-0000-0000-0000010D0000}"/>
    <cellStyle name="Currency 5 3 3 5 3 2" xfId="14336" xr:uid="{E1F1A8BA-D8DF-48B6-8B90-2EA4E1A30833}"/>
    <cellStyle name="Currency 5 3 3 5 4" xfId="10118" xr:uid="{FDC3B35D-4269-4105-BFA6-3CF3DB4D11C3}"/>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16894" xr:uid="{3DB36A77-4A49-41D8-BAB5-7FC400CE0C34}"/>
    <cellStyle name="Currency 5 3 3 6 2 3" xfId="12676" xr:uid="{22EDD3A2-0624-4553-8EB1-101AA68185A6}"/>
    <cellStyle name="Currency 5 3 3 6 3" xfId="6310" xr:uid="{00000000-0005-0000-0000-0000050D0000}"/>
    <cellStyle name="Currency 5 3 3 6 3 2" xfId="14749" xr:uid="{BFB66439-3F3F-4D0F-8791-B062D93BA747}"/>
    <cellStyle name="Currency 5 3 3 6 4" xfId="10531" xr:uid="{FFBAD0D3-5B53-487F-8A89-5FFBC4895ED2}"/>
    <cellStyle name="Currency 5 3 3 7" xfId="2438" xr:uid="{00000000-0005-0000-0000-0000060D0000}"/>
    <cellStyle name="Currency 5 3 3 7 2" xfId="6723" xr:uid="{00000000-0005-0000-0000-0000070D0000}"/>
    <cellStyle name="Currency 5 3 3 7 2 2" xfId="15162" xr:uid="{4780A99B-B456-46E2-82E3-00AB2A3C3016}"/>
    <cellStyle name="Currency 5 3 3 7 3" xfId="10944" xr:uid="{B4C35B8B-8D26-446F-883E-FC05E1BF8CEF}"/>
    <cellStyle name="Currency 5 3 3 8" xfId="2735" xr:uid="{00000000-0005-0000-0000-0000080D0000}"/>
    <cellStyle name="Currency 5 3 3 9" xfId="2816" xr:uid="{00000000-0005-0000-0000-0000090D0000}"/>
    <cellStyle name="Currency 5 3 3 9 2" xfId="7040" xr:uid="{00000000-0005-0000-0000-00000A0D0000}"/>
    <cellStyle name="Currency 5 3 3 9 2 2" xfId="15479" xr:uid="{629E83E0-E37D-4FC9-8ECD-8813858B16AF}"/>
    <cellStyle name="Currency 5 3 3 9 3" xfId="11261" xr:uid="{39730326-37BD-423F-BC89-2F86032DDCB4}"/>
    <cellStyle name="Currency 5 3 4" xfId="216" xr:uid="{00000000-0005-0000-0000-00000B0D0000}"/>
    <cellStyle name="Currency 5 3 4 10" xfId="8880" xr:uid="{21F78212-1C67-46E7-83E4-808D56C0368E}"/>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5657" xr:uid="{9FB9B974-AB28-4B4C-9CBA-288DF9F14632}"/>
    <cellStyle name="Currency 5 3 4 2 2 3" xfId="11439" xr:uid="{C5710E32-DE96-496C-BEC5-006D295A61E4}"/>
    <cellStyle name="Currency 5 3 4 2 3" xfId="5073" xr:uid="{00000000-0005-0000-0000-00000F0D0000}"/>
    <cellStyle name="Currency 5 3 4 2 3 2" xfId="13512" xr:uid="{1149E68B-534E-4D1F-92F5-CA7A4B638C1E}"/>
    <cellStyle name="Currency 5 3 4 2 4" xfId="9294" xr:uid="{29FAE666-AF7A-4326-A9B9-46B9A4791401}"/>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16070" xr:uid="{84AEBF62-F84B-49EA-82A2-EDA6CB70832F}"/>
    <cellStyle name="Currency 5 3 4 3 2 3" xfId="11852" xr:uid="{F75D4EE3-8388-4317-8EDD-8E5F1523AAC8}"/>
    <cellStyle name="Currency 5 3 4 3 3" xfId="5486" xr:uid="{00000000-0005-0000-0000-0000130D0000}"/>
    <cellStyle name="Currency 5 3 4 3 3 2" xfId="13925" xr:uid="{90C0849C-9822-468B-BABB-94257F3F245B}"/>
    <cellStyle name="Currency 5 3 4 3 4" xfId="9707" xr:uid="{643529E6-4299-4232-8285-02F51D4FE10E}"/>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16483" xr:uid="{44B520B3-3FD3-47A3-81F8-2A8EB62A560A}"/>
    <cellStyle name="Currency 5 3 4 4 2 3" xfId="12265" xr:uid="{B37DE1FB-E3E5-4305-80BD-3926D8BC0B74}"/>
    <cellStyle name="Currency 5 3 4 4 3" xfId="5899" xr:uid="{00000000-0005-0000-0000-0000170D0000}"/>
    <cellStyle name="Currency 5 3 4 4 3 2" xfId="14338" xr:uid="{6338D227-E94B-483D-B49C-5B6C5BB18BD2}"/>
    <cellStyle name="Currency 5 3 4 4 4" xfId="10120" xr:uid="{BA574B2B-302D-4E42-9F64-E3142321A315}"/>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16896" xr:uid="{856A0BD3-009C-4D94-9CAF-86FC84374924}"/>
    <cellStyle name="Currency 5 3 4 5 2 3" xfId="12678" xr:uid="{C2DAB8BB-D248-496E-8031-0420E4F536E5}"/>
    <cellStyle name="Currency 5 3 4 5 3" xfId="6312" xr:uid="{00000000-0005-0000-0000-00001B0D0000}"/>
    <cellStyle name="Currency 5 3 4 5 3 2" xfId="14751" xr:uid="{54624EAE-7574-4359-96EC-89AA8E80183A}"/>
    <cellStyle name="Currency 5 3 4 5 4" xfId="10533" xr:uid="{18AD855D-0BD4-4B9B-9277-8EA487D0E9FD}"/>
    <cellStyle name="Currency 5 3 4 6" xfId="2440" xr:uid="{00000000-0005-0000-0000-00001C0D0000}"/>
    <cellStyle name="Currency 5 3 4 6 2" xfId="6725" xr:uid="{00000000-0005-0000-0000-00001D0D0000}"/>
    <cellStyle name="Currency 5 3 4 6 2 2" xfId="15164" xr:uid="{28AD5679-97A9-49F8-A12C-42093FD1D950}"/>
    <cellStyle name="Currency 5 3 4 6 3" xfId="10946" xr:uid="{9B888C50-DA3F-4AB7-B581-B9CD1F3E6765}"/>
    <cellStyle name="Currency 5 3 4 7" xfId="2737" xr:uid="{00000000-0005-0000-0000-00001E0D0000}"/>
    <cellStyle name="Currency 5 3 4 8" xfId="2818" xr:uid="{00000000-0005-0000-0000-00001F0D0000}"/>
    <cellStyle name="Currency 5 3 4 8 2" xfId="7042" xr:uid="{00000000-0005-0000-0000-0000200D0000}"/>
    <cellStyle name="Currency 5 3 4 8 2 2" xfId="15481" xr:uid="{9257B5F7-522E-48D2-BF54-8630934738E3}"/>
    <cellStyle name="Currency 5 3 4 8 3" xfId="11263" xr:uid="{82F84F09-BBD7-4A6E-9DC0-8B4D8B05E197}"/>
    <cellStyle name="Currency 5 3 4 9" xfId="4659" xr:uid="{00000000-0005-0000-0000-0000210D0000}"/>
    <cellStyle name="Currency 5 3 4 9 2" xfId="13098" xr:uid="{0AAD126A-4109-44AF-AB48-508CD58FB917}"/>
    <cellStyle name="Currency 5 3 5" xfId="217" xr:uid="{00000000-0005-0000-0000-0000220D0000}"/>
    <cellStyle name="Currency 5 3 5 10" xfId="8881" xr:uid="{F38268B9-6FB0-4D7E-905A-0B17D6106A70}"/>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5658" xr:uid="{E328FF6B-3C4A-4261-8C7F-0D435C6DF314}"/>
    <cellStyle name="Currency 5 3 5 2 2 3" xfId="11440" xr:uid="{C60AFE29-757E-4090-983D-9D15A79D53D2}"/>
    <cellStyle name="Currency 5 3 5 2 3" xfId="5074" xr:uid="{00000000-0005-0000-0000-0000260D0000}"/>
    <cellStyle name="Currency 5 3 5 2 3 2" xfId="13513" xr:uid="{87096D1D-6048-4015-AA9C-AB2A6610FC1F}"/>
    <cellStyle name="Currency 5 3 5 2 4" xfId="9295" xr:uid="{D74A94BB-701D-44F1-918D-25FA1CB62BAB}"/>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16071" xr:uid="{64E80598-4271-486D-BCA5-325290367E48}"/>
    <cellStyle name="Currency 5 3 5 3 2 3" xfId="11853" xr:uid="{E2C509C8-3EDD-4F4E-8BC0-6AEDBF3DDD31}"/>
    <cellStyle name="Currency 5 3 5 3 3" xfId="5487" xr:uid="{00000000-0005-0000-0000-00002A0D0000}"/>
    <cellStyle name="Currency 5 3 5 3 3 2" xfId="13926" xr:uid="{3921C5A4-6F03-4A9E-B0F9-4A753DF69043}"/>
    <cellStyle name="Currency 5 3 5 3 4" xfId="9708" xr:uid="{DB750682-EC69-4ED7-8D13-9CCB5CBB3B8C}"/>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16484" xr:uid="{09573A44-7C58-4E47-B55B-FADCD9265F8C}"/>
    <cellStyle name="Currency 5 3 5 4 2 3" xfId="12266" xr:uid="{4E23EC5C-B2AF-49C7-809A-734FAA755461}"/>
    <cellStyle name="Currency 5 3 5 4 3" xfId="5900" xr:uid="{00000000-0005-0000-0000-00002E0D0000}"/>
    <cellStyle name="Currency 5 3 5 4 3 2" xfId="14339" xr:uid="{0D995329-EEF7-4351-B737-51B95948132A}"/>
    <cellStyle name="Currency 5 3 5 4 4" xfId="10121" xr:uid="{E5061785-2FFC-48EA-B59A-BF9015B8455C}"/>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16897" xr:uid="{8164BF4F-A1DD-4CCF-99B8-5A0C5323EF6E}"/>
    <cellStyle name="Currency 5 3 5 5 2 3" xfId="12679" xr:uid="{842FB27D-4CCE-4006-B0C5-0C3E58D2DD1F}"/>
    <cellStyle name="Currency 5 3 5 5 3" xfId="6313" xr:uid="{00000000-0005-0000-0000-0000320D0000}"/>
    <cellStyle name="Currency 5 3 5 5 3 2" xfId="14752" xr:uid="{432A4DE9-CA84-48B0-B101-09B4CF47D6BA}"/>
    <cellStyle name="Currency 5 3 5 5 4" xfId="10534" xr:uid="{8E492F09-043E-4BFA-8B9A-8E858A9D2E63}"/>
    <cellStyle name="Currency 5 3 5 6" xfId="2441" xr:uid="{00000000-0005-0000-0000-0000330D0000}"/>
    <cellStyle name="Currency 5 3 5 6 2" xfId="6726" xr:uid="{00000000-0005-0000-0000-0000340D0000}"/>
    <cellStyle name="Currency 5 3 5 6 2 2" xfId="15165" xr:uid="{BEB941B9-F775-4F20-A330-A8BADF97EFCB}"/>
    <cellStyle name="Currency 5 3 5 6 3" xfId="10947" xr:uid="{0666B8E5-58FC-4523-8D0A-7F7EE39B0B1C}"/>
    <cellStyle name="Currency 5 3 5 7" xfId="2738" xr:uid="{00000000-0005-0000-0000-0000350D0000}"/>
    <cellStyle name="Currency 5 3 5 8" xfId="2819" xr:uid="{00000000-0005-0000-0000-0000360D0000}"/>
    <cellStyle name="Currency 5 3 5 8 2" xfId="7043" xr:uid="{00000000-0005-0000-0000-0000370D0000}"/>
    <cellStyle name="Currency 5 3 5 8 2 2" xfId="15482" xr:uid="{28228FEA-5C2C-479B-9BB7-21C50C899A74}"/>
    <cellStyle name="Currency 5 3 5 8 3" xfId="11264" xr:uid="{5E723D79-0134-4AAE-A644-055E2E50A5B8}"/>
    <cellStyle name="Currency 5 3 5 9" xfId="4660" xr:uid="{00000000-0005-0000-0000-0000380D0000}"/>
    <cellStyle name="Currency 5 3 5 9 2" xfId="13099" xr:uid="{4910336B-755E-48A8-8214-7333DA1582D8}"/>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13100" xr:uid="{32B855AB-F91F-47FB-993B-151AAF918462}"/>
    <cellStyle name="Currency 5 5 11" xfId="8882" xr:uid="{0A6153C1-D6FB-4130-AA0D-7CE1B76D1E71}"/>
    <cellStyle name="Currency 5 5 2" xfId="220" xr:uid="{00000000-0005-0000-0000-00003D0D0000}"/>
    <cellStyle name="Currency 5 5 2 10" xfId="8883" xr:uid="{7206A90C-2735-491D-9981-B5A5022DC60F}"/>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5660" xr:uid="{CDEDD374-EFC2-428A-9647-9207614C5024}"/>
    <cellStyle name="Currency 5 5 2 2 2 3" xfId="11442" xr:uid="{8B4D698D-31BC-4F4E-B361-3853517F8791}"/>
    <cellStyle name="Currency 5 5 2 2 3" xfId="5076" xr:uid="{00000000-0005-0000-0000-0000410D0000}"/>
    <cellStyle name="Currency 5 5 2 2 3 2" xfId="13515" xr:uid="{4EB780C2-B558-484F-BC31-B0E31B88E9B1}"/>
    <cellStyle name="Currency 5 5 2 2 4" xfId="9297" xr:uid="{34693275-276F-4A3D-94E4-E466502A3698}"/>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16073" xr:uid="{7EA79FE1-4EE2-40D0-9EBD-67F5CA882EA6}"/>
    <cellStyle name="Currency 5 5 2 3 2 3" xfId="11855" xr:uid="{2A2F0053-C97C-4519-8A6A-5B8EBFC330F5}"/>
    <cellStyle name="Currency 5 5 2 3 3" xfId="5489" xr:uid="{00000000-0005-0000-0000-0000450D0000}"/>
    <cellStyle name="Currency 5 5 2 3 3 2" xfId="13928" xr:uid="{1C3C1D68-D832-4825-834F-172B2AEFB232}"/>
    <cellStyle name="Currency 5 5 2 3 4" xfId="9710" xr:uid="{8B4F50D0-E663-41E4-BC55-890D4E116F95}"/>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16486" xr:uid="{65850006-775E-4973-A378-03A2C54A25E3}"/>
    <cellStyle name="Currency 5 5 2 4 2 3" xfId="12268" xr:uid="{4321543C-5A35-4C28-885F-78A6B6179D24}"/>
    <cellStyle name="Currency 5 5 2 4 3" xfId="5902" xr:uid="{00000000-0005-0000-0000-0000490D0000}"/>
    <cellStyle name="Currency 5 5 2 4 3 2" xfId="14341" xr:uid="{C9FC4601-FBA5-4C3A-8ADD-5542290E03E3}"/>
    <cellStyle name="Currency 5 5 2 4 4" xfId="10123" xr:uid="{6E6A0D9D-E397-4E89-8800-DC5EEE48BFCC}"/>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16899" xr:uid="{3FA7BA9A-3637-4B65-9740-15038B910A82}"/>
    <cellStyle name="Currency 5 5 2 5 2 3" xfId="12681" xr:uid="{4C468D38-6B67-4CDB-95E7-65A5349E5B2F}"/>
    <cellStyle name="Currency 5 5 2 5 3" xfId="6315" xr:uid="{00000000-0005-0000-0000-00004D0D0000}"/>
    <cellStyle name="Currency 5 5 2 5 3 2" xfId="14754" xr:uid="{15C58F94-181E-4656-89B0-93C33BB91A4F}"/>
    <cellStyle name="Currency 5 5 2 5 4" xfId="10536" xr:uid="{F8717105-06DE-4363-8CCD-BC380DFEA936}"/>
    <cellStyle name="Currency 5 5 2 6" xfId="2443" xr:uid="{00000000-0005-0000-0000-00004E0D0000}"/>
    <cellStyle name="Currency 5 5 2 6 2" xfId="6728" xr:uid="{00000000-0005-0000-0000-00004F0D0000}"/>
    <cellStyle name="Currency 5 5 2 6 2 2" xfId="15167" xr:uid="{C28F7BB9-5820-4542-B1A0-A8426666A648}"/>
    <cellStyle name="Currency 5 5 2 6 3" xfId="10949" xr:uid="{DE8A239C-A085-417E-8933-212F0BA9BF85}"/>
    <cellStyle name="Currency 5 5 2 7" xfId="2740" xr:uid="{00000000-0005-0000-0000-0000500D0000}"/>
    <cellStyle name="Currency 5 5 2 8" xfId="2821" xr:uid="{00000000-0005-0000-0000-0000510D0000}"/>
    <cellStyle name="Currency 5 5 2 8 2" xfId="7045" xr:uid="{00000000-0005-0000-0000-0000520D0000}"/>
    <cellStyle name="Currency 5 5 2 8 2 2" xfId="15484" xr:uid="{8C0785EA-7220-4F4C-A17A-9B3339D23913}"/>
    <cellStyle name="Currency 5 5 2 8 3" xfId="11266" xr:uid="{325B1E92-7FA5-47A5-AA80-DFF0A8047BCF}"/>
    <cellStyle name="Currency 5 5 2 9" xfId="4662" xr:uid="{00000000-0005-0000-0000-0000530D0000}"/>
    <cellStyle name="Currency 5 5 2 9 2" xfId="13101" xr:uid="{9279A300-DA0F-4E23-863A-140CDF215AB1}"/>
    <cellStyle name="Currency 5 5 3" xfId="745" xr:uid="{00000000-0005-0000-0000-0000540D0000}"/>
    <cellStyle name="Currency 5 5 3 2" xfId="2997" xr:uid="{00000000-0005-0000-0000-0000550D0000}"/>
    <cellStyle name="Currency 5 5 3 2 2" xfId="7220" xr:uid="{00000000-0005-0000-0000-0000560D0000}"/>
    <cellStyle name="Currency 5 5 3 2 2 2" xfId="15659" xr:uid="{D4DD15BC-4AE9-4C85-B799-2974F451204C}"/>
    <cellStyle name="Currency 5 5 3 2 3" xfId="11441" xr:uid="{A314DBE3-04D1-402B-98F6-08C19932931B}"/>
    <cellStyle name="Currency 5 5 3 3" xfId="5075" xr:uid="{00000000-0005-0000-0000-0000570D0000}"/>
    <cellStyle name="Currency 5 5 3 3 2" xfId="13514" xr:uid="{EE69BC4E-4AD2-4557-9047-0FBAACB33048}"/>
    <cellStyle name="Currency 5 5 3 4" xfId="9296" xr:uid="{5A0BADFA-9DEA-479D-8B33-22CED862CDEC}"/>
    <cellStyle name="Currency 5 5 4" xfId="1179" xr:uid="{00000000-0005-0000-0000-0000580D0000}"/>
    <cellStyle name="Currency 5 5 4 2" xfId="3410" xr:uid="{00000000-0005-0000-0000-0000590D0000}"/>
    <cellStyle name="Currency 5 5 4 2 2" xfId="7633" xr:uid="{00000000-0005-0000-0000-00005A0D0000}"/>
    <cellStyle name="Currency 5 5 4 2 2 2" xfId="16072" xr:uid="{8D906A4B-93AB-4297-B185-002ACCCB2179}"/>
    <cellStyle name="Currency 5 5 4 2 3" xfId="11854" xr:uid="{98D26953-3EED-4317-897F-1B26D0CA72F5}"/>
    <cellStyle name="Currency 5 5 4 3" xfId="5488" xr:uid="{00000000-0005-0000-0000-00005B0D0000}"/>
    <cellStyle name="Currency 5 5 4 3 2" xfId="13927" xr:uid="{C17CAA74-8261-4D67-8532-333F7BB6D176}"/>
    <cellStyle name="Currency 5 5 4 4" xfId="9709" xr:uid="{95C66534-8553-471C-989A-CFB260EA069E}"/>
    <cellStyle name="Currency 5 5 5" xfId="1593" xr:uid="{00000000-0005-0000-0000-00005C0D0000}"/>
    <cellStyle name="Currency 5 5 5 2" xfId="3823" xr:uid="{00000000-0005-0000-0000-00005D0D0000}"/>
    <cellStyle name="Currency 5 5 5 2 2" xfId="8046" xr:uid="{00000000-0005-0000-0000-00005E0D0000}"/>
    <cellStyle name="Currency 5 5 5 2 2 2" xfId="16485" xr:uid="{8EF1B92F-BBFC-4177-B037-E492DEA84EEA}"/>
    <cellStyle name="Currency 5 5 5 2 3" xfId="12267" xr:uid="{B6D0BE32-BDBA-48F0-9F83-CC2A29729381}"/>
    <cellStyle name="Currency 5 5 5 3" xfId="5901" xr:uid="{00000000-0005-0000-0000-00005F0D0000}"/>
    <cellStyle name="Currency 5 5 5 3 2" xfId="14340" xr:uid="{78E0F8E8-6478-43AD-B565-4682FCDB8CC2}"/>
    <cellStyle name="Currency 5 5 5 4" xfId="10122" xr:uid="{CF3B6125-5AE9-4C7F-BBEF-510F0A8A9399}"/>
    <cellStyle name="Currency 5 5 6" xfId="2007" xr:uid="{00000000-0005-0000-0000-0000600D0000}"/>
    <cellStyle name="Currency 5 5 6 2" xfId="4236" xr:uid="{00000000-0005-0000-0000-0000610D0000}"/>
    <cellStyle name="Currency 5 5 6 2 2" xfId="8459" xr:uid="{00000000-0005-0000-0000-0000620D0000}"/>
    <cellStyle name="Currency 5 5 6 2 2 2" xfId="16898" xr:uid="{2590B7BF-CB78-4438-A7C7-EDD9252A849E}"/>
    <cellStyle name="Currency 5 5 6 2 3" xfId="12680" xr:uid="{39D05722-A100-468C-BB6A-9A02A526E9A8}"/>
    <cellStyle name="Currency 5 5 6 3" xfId="6314" xr:uid="{00000000-0005-0000-0000-0000630D0000}"/>
    <cellStyle name="Currency 5 5 6 3 2" xfId="14753" xr:uid="{265CB0F5-D9FB-428A-9E8B-CF18EE2C8E36}"/>
    <cellStyle name="Currency 5 5 6 4" xfId="10535" xr:uid="{0D53518C-0E69-479C-BC6A-4F48C01AA5C9}"/>
    <cellStyle name="Currency 5 5 7" xfId="2442" xr:uid="{00000000-0005-0000-0000-0000640D0000}"/>
    <cellStyle name="Currency 5 5 7 2" xfId="6727" xr:uid="{00000000-0005-0000-0000-0000650D0000}"/>
    <cellStyle name="Currency 5 5 7 2 2" xfId="15166" xr:uid="{8E06011F-CA54-4543-942A-977C6BC99C01}"/>
    <cellStyle name="Currency 5 5 7 3" xfId="10948" xr:uid="{7A296FD7-076C-4D7D-AC7E-50B04FC036C5}"/>
    <cellStyle name="Currency 5 5 8" xfId="2739" xr:uid="{00000000-0005-0000-0000-0000660D0000}"/>
    <cellStyle name="Currency 5 5 9" xfId="2820" xr:uid="{00000000-0005-0000-0000-0000670D0000}"/>
    <cellStyle name="Currency 5 5 9 2" xfId="7044" xr:uid="{00000000-0005-0000-0000-0000680D0000}"/>
    <cellStyle name="Currency 5 5 9 2 2" xfId="15483" xr:uid="{A1BF168B-7F1A-45F9-84F6-78DDC7C90CC4}"/>
    <cellStyle name="Currency 5 5 9 3" xfId="11265" xr:uid="{511B5B17-5936-4E0E-9263-3986DDAC857B}"/>
    <cellStyle name="Currency 5 6" xfId="221" xr:uid="{00000000-0005-0000-0000-0000690D0000}"/>
    <cellStyle name="Currency 5 6 10" xfId="8884" xr:uid="{948FEE29-0F67-4A0B-B70E-FB3E39D386B5}"/>
    <cellStyle name="Currency 5 6 2" xfId="747" xr:uid="{00000000-0005-0000-0000-00006A0D0000}"/>
    <cellStyle name="Currency 5 6 2 2" xfId="2999" xr:uid="{00000000-0005-0000-0000-00006B0D0000}"/>
    <cellStyle name="Currency 5 6 2 2 2" xfId="7222" xr:uid="{00000000-0005-0000-0000-00006C0D0000}"/>
    <cellStyle name="Currency 5 6 2 2 2 2" xfId="15661" xr:uid="{30696E17-E3D5-4DF6-983A-1014D3AE86A0}"/>
    <cellStyle name="Currency 5 6 2 2 3" xfId="11443" xr:uid="{64F4058F-48FA-45AD-B700-04FE6600E575}"/>
    <cellStyle name="Currency 5 6 2 3" xfId="5077" xr:uid="{00000000-0005-0000-0000-00006D0D0000}"/>
    <cellStyle name="Currency 5 6 2 3 2" xfId="13516" xr:uid="{3F0DBAFE-BAF1-4EDB-9684-A72943C07F32}"/>
    <cellStyle name="Currency 5 6 2 4" xfId="9298" xr:uid="{A5AC157B-E055-4F7C-88DE-297188E70494}"/>
    <cellStyle name="Currency 5 6 3" xfId="1181" xr:uid="{00000000-0005-0000-0000-00006E0D0000}"/>
    <cellStyle name="Currency 5 6 3 2" xfId="3412" xr:uid="{00000000-0005-0000-0000-00006F0D0000}"/>
    <cellStyle name="Currency 5 6 3 2 2" xfId="7635" xr:uid="{00000000-0005-0000-0000-0000700D0000}"/>
    <cellStyle name="Currency 5 6 3 2 2 2" xfId="16074" xr:uid="{D7F80AE0-F0E1-4A50-A1CD-1F463248A60B}"/>
    <cellStyle name="Currency 5 6 3 2 3" xfId="11856" xr:uid="{F0ED9C7F-D0B2-42A8-A464-CFF26A19DF5D}"/>
    <cellStyle name="Currency 5 6 3 3" xfId="5490" xr:uid="{00000000-0005-0000-0000-0000710D0000}"/>
    <cellStyle name="Currency 5 6 3 3 2" xfId="13929" xr:uid="{30F626DE-9F46-495B-AD09-1BC9739F000A}"/>
    <cellStyle name="Currency 5 6 3 4" xfId="9711" xr:uid="{92796D05-2154-4F46-9CCB-902FDA61A605}"/>
    <cellStyle name="Currency 5 6 4" xfId="1595" xr:uid="{00000000-0005-0000-0000-0000720D0000}"/>
    <cellStyle name="Currency 5 6 4 2" xfId="3825" xr:uid="{00000000-0005-0000-0000-0000730D0000}"/>
    <cellStyle name="Currency 5 6 4 2 2" xfId="8048" xr:uid="{00000000-0005-0000-0000-0000740D0000}"/>
    <cellStyle name="Currency 5 6 4 2 2 2" xfId="16487" xr:uid="{793D2B4D-E8A2-406C-A01E-32F1369E16AA}"/>
    <cellStyle name="Currency 5 6 4 2 3" xfId="12269" xr:uid="{E89791E9-470A-4B40-8AD8-B5E65419F65B}"/>
    <cellStyle name="Currency 5 6 4 3" xfId="5903" xr:uid="{00000000-0005-0000-0000-0000750D0000}"/>
    <cellStyle name="Currency 5 6 4 3 2" xfId="14342" xr:uid="{AC47C903-B26D-4F05-BBFD-3619BB1136D8}"/>
    <cellStyle name="Currency 5 6 4 4" xfId="10124" xr:uid="{3A0947AD-294B-4B1F-BCE7-170CF9C698B3}"/>
    <cellStyle name="Currency 5 6 5" xfId="2009" xr:uid="{00000000-0005-0000-0000-0000760D0000}"/>
    <cellStyle name="Currency 5 6 5 2" xfId="4238" xr:uid="{00000000-0005-0000-0000-0000770D0000}"/>
    <cellStyle name="Currency 5 6 5 2 2" xfId="8461" xr:uid="{00000000-0005-0000-0000-0000780D0000}"/>
    <cellStyle name="Currency 5 6 5 2 2 2" xfId="16900" xr:uid="{1C023B31-4D59-44F0-9C72-BEC4CFAC58C4}"/>
    <cellStyle name="Currency 5 6 5 2 3" xfId="12682" xr:uid="{3EA96C0C-2075-49D3-A9AE-9FD4B215977F}"/>
    <cellStyle name="Currency 5 6 5 3" xfId="6316" xr:uid="{00000000-0005-0000-0000-0000790D0000}"/>
    <cellStyle name="Currency 5 6 5 3 2" xfId="14755" xr:uid="{734D3C0B-4A20-4427-91BF-32B8CEE65251}"/>
    <cellStyle name="Currency 5 6 5 4" xfId="10537" xr:uid="{600E5413-4C04-444F-A2D8-95E5F8415740}"/>
    <cellStyle name="Currency 5 6 6" xfId="2444" xr:uid="{00000000-0005-0000-0000-00007A0D0000}"/>
    <cellStyle name="Currency 5 6 6 2" xfId="6729" xr:uid="{00000000-0005-0000-0000-00007B0D0000}"/>
    <cellStyle name="Currency 5 6 6 2 2" xfId="15168" xr:uid="{19145243-032C-47D0-B374-C7F3CE8910B3}"/>
    <cellStyle name="Currency 5 6 6 3" xfId="10950" xr:uid="{0C51AB2F-3189-4177-8DAF-F7AB635FDE2E}"/>
    <cellStyle name="Currency 5 6 7" xfId="2741" xr:uid="{00000000-0005-0000-0000-00007C0D0000}"/>
    <cellStyle name="Currency 5 6 8" xfId="2822" xr:uid="{00000000-0005-0000-0000-00007D0D0000}"/>
    <cellStyle name="Currency 5 6 8 2" xfId="7046" xr:uid="{00000000-0005-0000-0000-00007E0D0000}"/>
    <cellStyle name="Currency 5 6 8 2 2" xfId="15485" xr:uid="{F0DD9A17-E0A3-4EFF-B1C3-4A46D69DA99E}"/>
    <cellStyle name="Currency 5 6 8 3" xfId="11267" xr:uid="{EF6810C7-B0EB-43C7-9EAF-E192C1570540}"/>
    <cellStyle name="Currency 5 6 9" xfId="4663" xr:uid="{00000000-0005-0000-0000-00007F0D0000}"/>
    <cellStyle name="Currency 5 6 9 2" xfId="13102" xr:uid="{1DD707BF-25CA-4160-8DB5-3182DE19A550}"/>
    <cellStyle name="Currency 5 7" xfId="222" xr:uid="{00000000-0005-0000-0000-0000800D0000}"/>
    <cellStyle name="Currency 5 7 10" xfId="8885" xr:uid="{79CA0781-6849-4E3E-A94F-95FBAA1F7E60}"/>
    <cellStyle name="Currency 5 7 2" xfId="748" xr:uid="{00000000-0005-0000-0000-0000810D0000}"/>
    <cellStyle name="Currency 5 7 2 2" xfId="3000" xr:uid="{00000000-0005-0000-0000-0000820D0000}"/>
    <cellStyle name="Currency 5 7 2 2 2" xfId="7223" xr:uid="{00000000-0005-0000-0000-0000830D0000}"/>
    <cellStyle name="Currency 5 7 2 2 2 2" xfId="15662" xr:uid="{B7E9C325-1FAD-4A51-8E3C-8926CF86057F}"/>
    <cellStyle name="Currency 5 7 2 2 3" xfId="11444" xr:uid="{43931901-5BF3-4D23-BAE5-FA1962B1E687}"/>
    <cellStyle name="Currency 5 7 2 3" xfId="5078" xr:uid="{00000000-0005-0000-0000-0000840D0000}"/>
    <cellStyle name="Currency 5 7 2 3 2" xfId="13517" xr:uid="{47BF1AD5-D5AC-4B3C-900E-5E2D48E7DBB8}"/>
    <cellStyle name="Currency 5 7 2 4" xfId="9299" xr:uid="{2EE815CE-9FA9-41DE-BAE3-776CDFE6CCB9}"/>
    <cellStyle name="Currency 5 7 3" xfId="1182" xr:uid="{00000000-0005-0000-0000-0000850D0000}"/>
    <cellStyle name="Currency 5 7 3 2" xfId="3413" xr:uid="{00000000-0005-0000-0000-0000860D0000}"/>
    <cellStyle name="Currency 5 7 3 2 2" xfId="7636" xr:uid="{00000000-0005-0000-0000-0000870D0000}"/>
    <cellStyle name="Currency 5 7 3 2 2 2" xfId="16075" xr:uid="{EDE367DF-F0AA-4EE4-88AC-9581E7D5407F}"/>
    <cellStyle name="Currency 5 7 3 2 3" xfId="11857" xr:uid="{34469ADF-CF81-46E5-B83A-3305540440C0}"/>
    <cellStyle name="Currency 5 7 3 3" xfId="5491" xr:uid="{00000000-0005-0000-0000-0000880D0000}"/>
    <cellStyle name="Currency 5 7 3 3 2" xfId="13930" xr:uid="{DB596BBF-C742-49D6-8BF3-6AEAA8D5D33E}"/>
    <cellStyle name="Currency 5 7 3 4" xfId="9712" xr:uid="{F72CF8BF-5597-4C6B-A45B-9A0275A40D30}"/>
    <cellStyle name="Currency 5 7 4" xfId="1596" xr:uid="{00000000-0005-0000-0000-0000890D0000}"/>
    <cellStyle name="Currency 5 7 4 2" xfId="3826" xr:uid="{00000000-0005-0000-0000-00008A0D0000}"/>
    <cellStyle name="Currency 5 7 4 2 2" xfId="8049" xr:uid="{00000000-0005-0000-0000-00008B0D0000}"/>
    <cellStyle name="Currency 5 7 4 2 2 2" xfId="16488" xr:uid="{E774E1DA-8710-474E-9862-A3AEF9373A8E}"/>
    <cellStyle name="Currency 5 7 4 2 3" xfId="12270" xr:uid="{BB9F3F4D-3F01-47C5-94E7-8454E6E08FFA}"/>
    <cellStyle name="Currency 5 7 4 3" xfId="5904" xr:uid="{00000000-0005-0000-0000-00008C0D0000}"/>
    <cellStyle name="Currency 5 7 4 3 2" xfId="14343" xr:uid="{20C04E61-4EB9-47D4-97ED-2FFDAB7464E0}"/>
    <cellStyle name="Currency 5 7 4 4" xfId="10125" xr:uid="{6431940B-C61A-4DC6-AB48-A524A69432B0}"/>
    <cellStyle name="Currency 5 7 5" xfId="2010" xr:uid="{00000000-0005-0000-0000-00008D0D0000}"/>
    <cellStyle name="Currency 5 7 5 2" xfId="4239" xr:uid="{00000000-0005-0000-0000-00008E0D0000}"/>
    <cellStyle name="Currency 5 7 5 2 2" xfId="8462" xr:uid="{00000000-0005-0000-0000-00008F0D0000}"/>
    <cellStyle name="Currency 5 7 5 2 2 2" xfId="16901" xr:uid="{B70B4FEC-DF23-4D4E-89F1-668914FD5180}"/>
    <cellStyle name="Currency 5 7 5 2 3" xfId="12683" xr:uid="{817FB528-1C48-487B-8924-E91501C16108}"/>
    <cellStyle name="Currency 5 7 5 3" xfId="6317" xr:uid="{00000000-0005-0000-0000-0000900D0000}"/>
    <cellStyle name="Currency 5 7 5 3 2" xfId="14756" xr:uid="{706CE59A-2F53-446E-AFC9-8D50D02594E0}"/>
    <cellStyle name="Currency 5 7 5 4" xfId="10538" xr:uid="{8FD73C2C-F02B-4E59-BA04-19969F1316E3}"/>
    <cellStyle name="Currency 5 7 6" xfId="2445" xr:uid="{00000000-0005-0000-0000-0000910D0000}"/>
    <cellStyle name="Currency 5 7 6 2" xfId="6730" xr:uid="{00000000-0005-0000-0000-0000920D0000}"/>
    <cellStyle name="Currency 5 7 6 2 2" xfId="15169" xr:uid="{F6573CA2-E028-45FC-930C-55F762FB6935}"/>
    <cellStyle name="Currency 5 7 6 3" xfId="10951" xr:uid="{3B69B33F-C031-4A1D-9BC9-1B9BECAA64FE}"/>
    <cellStyle name="Currency 5 7 7" xfId="2742" xr:uid="{00000000-0005-0000-0000-0000930D0000}"/>
    <cellStyle name="Currency 5 7 8" xfId="2823" xr:uid="{00000000-0005-0000-0000-0000940D0000}"/>
    <cellStyle name="Currency 5 7 8 2" xfId="7047" xr:uid="{00000000-0005-0000-0000-0000950D0000}"/>
    <cellStyle name="Currency 5 7 8 2 2" xfId="15486" xr:uid="{D0400E93-3C33-4133-AE0F-BFAEF8F461FC}"/>
    <cellStyle name="Currency 5 7 8 3" xfId="11268" xr:uid="{18E996F7-8DDF-4E4B-B71F-0F971A3CCA2B}"/>
    <cellStyle name="Currency 5 7 9" xfId="4664" xr:uid="{00000000-0005-0000-0000-0000960D0000}"/>
    <cellStyle name="Currency 5 7 9 2" xfId="13103" xr:uid="{587EF039-F60F-42CA-AF8A-559068339FDF}"/>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15170" xr:uid="{915A4F99-57C0-4A70-B66C-F8F0AC2C6ECF}"/>
    <cellStyle name="Normal 12 10 3" xfId="10952" xr:uid="{00F31C35-9774-414C-B54B-A3E3C10CEFEE}"/>
    <cellStyle name="Normal 12 11" xfId="4665" xr:uid="{00000000-0005-0000-0000-0000CC0D0000}"/>
    <cellStyle name="Normal 12 11 2" xfId="13104" xr:uid="{31D1F01C-C627-4A9B-AFDA-01204F6C45CF}"/>
    <cellStyle name="Normal 12 12" xfId="8886" xr:uid="{B624B4DB-82B1-428E-95AA-CF8AE145C331}"/>
    <cellStyle name="Normal 12 2" xfId="260" xr:uid="{00000000-0005-0000-0000-0000CD0D0000}"/>
    <cellStyle name="Normal 12 2 10" xfId="8887" xr:uid="{37242455-6029-4055-9E54-ABEB0BE989A8}"/>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5666" xr:uid="{D6BB55A8-9460-4C3B-AF6C-087B2214C056}"/>
    <cellStyle name="Normal 12 2 2 2 2 2 3" xfId="11448" xr:uid="{3E15DE1F-9ADD-49B8-8ABB-A447ED1F07E6}"/>
    <cellStyle name="Normal 12 2 2 2 2 3" xfId="5082" xr:uid="{00000000-0005-0000-0000-0000D30D0000}"/>
    <cellStyle name="Normal 12 2 2 2 2 3 2" xfId="13521" xr:uid="{61A2C488-36C7-47C9-B6FB-BEA3F6B287BE}"/>
    <cellStyle name="Normal 12 2 2 2 2 4" xfId="9303" xr:uid="{172B71DD-316D-4754-8783-0AFCB50D68BA}"/>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16079" xr:uid="{10F3A500-4015-418B-893D-ED1613252A28}"/>
    <cellStyle name="Normal 12 2 2 2 3 2 3" xfId="11861" xr:uid="{BBC20EC6-5642-46DF-9B80-7EDDE9AA3ECF}"/>
    <cellStyle name="Normal 12 2 2 2 3 3" xfId="5495" xr:uid="{00000000-0005-0000-0000-0000D70D0000}"/>
    <cellStyle name="Normal 12 2 2 2 3 3 2" xfId="13934" xr:uid="{0180FF6D-6317-474E-8B03-EFA30B7B3F88}"/>
    <cellStyle name="Normal 12 2 2 2 3 4" xfId="9716" xr:uid="{3ED09832-1E24-4F38-B9A0-760CE57D5964}"/>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16492" xr:uid="{7E346B59-F448-4279-BA07-78AAC1C41D8A}"/>
    <cellStyle name="Normal 12 2 2 2 4 2 3" xfId="12274" xr:uid="{9FBC37E1-179C-40C2-9CE0-79C8B733AB41}"/>
    <cellStyle name="Normal 12 2 2 2 4 3" xfId="5908" xr:uid="{00000000-0005-0000-0000-0000DB0D0000}"/>
    <cellStyle name="Normal 12 2 2 2 4 3 2" xfId="14347" xr:uid="{BF434240-27FC-4764-BC84-B9767555DCB2}"/>
    <cellStyle name="Normal 12 2 2 2 4 4" xfId="10129" xr:uid="{5AFCFEDA-76D3-4161-8652-76E47FD172C8}"/>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16905" xr:uid="{F0C939CC-700C-4527-96F8-4AD5BDF9544D}"/>
    <cellStyle name="Normal 12 2 2 2 5 2 3" xfId="12687" xr:uid="{30DE744C-7083-4207-BB4B-F558D72A65E9}"/>
    <cellStyle name="Normal 12 2 2 2 5 3" xfId="6321" xr:uid="{00000000-0005-0000-0000-0000DF0D0000}"/>
    <cellStyle name="Normal 12 2 2 2 5 3 2" xfId="14760" xr:uid="{332FC234-0817-4012-A284-35C98F8BE0D7}"/>
    <cellStyle name="Normal 12 2 2 2 5 4" xfId="10542" xr:uid="{87606588-6FAC-4934-8F85-281E407C863A}"/>
    <cellStyle name="Normal 12 2 2 2 6" xfId="2450" xr:uid="{00000000-0005-0000-0000-0000E00D0000}"/>
    <cellStyle name="Normal 12 2 2 2 6 2" xfId="6734" xr:uid="{00000000-0005-0000-0000-0000E10D0000}"/>
    <cellStyle name="Normal 12 2 2 2 6 2 2" xfId="15173" xr:uid="{7A492D32-AD03-496F-93E4-C85E5BBC28C7}"/>
    <cellStyle name="Normal 12 2 2 2 6 3" xfId="10955" xr:uid="{166672DB-C579-41FB-A427-10A3B95D95AA}"/>
    <cellStyle name="Normal 12 2 2 2 7" xfId="4668" xr:uid="{00000000-0005-0000-0000-0000E20D0000}"/>
    <cellStyle name="Normal 12 2 2 2 7 2" xfId="13107" xr:uid="{43CC3477-6DA5-4578-8638-14C54DA4C213}"/>
    <cellStyle name="Normal 12 2 2 2 8" xfId="8889" xr:uid="{D1349151-D190-441D-B230-3334AA48BB16}"/>
    <cellStyle name="Normal 12 2 2 3" xfId="762" xr:uid="{00000000-0005-0000-0000-0000E30D0000}"/>
    <cellStyle name="Normal 12 2 2 3 2" xfId="3003" xr:uid="{00000000-0005-0000-0000-0000E40D0000}"/>
    <cellStyle name="Normal 12 2 2 3 2 2" xfId="7226" xr:uid="{00000000-0005-0000-0000-0000E50D0000}"/>
    <cellStyle name="Normal 12 2 2 3 2 2 2" xfId="15665" xr:uid="{7EB52140-092A-4DDA-88F8-C0D4D52B17A3}"/>
    <cellStyle name="Normal 12 2 2 3 2 3" xfId="11447" xr:uid="{2877ABB9-3939-40C5-B522-D0F414FA8C74}"/>
    <cellStyle name="Normal 12 2 2 3 3" xfId="5081" xr:uid="{00000000-0005-0000-0000-0000E60D0000}"/>
    <cellStyle name="Normal 12 2 2 3 3 2" xfId="13520" xr:uid="{58BFC791-6747-4896-882A-171715D9DD96}"/>
    <cellStyle name="Normal 12 2 2 3 4" xfId="9302" xr:uid="{792E2A2E-E8CF-4ACC-BF9D-34E24A15E166}"/>
    <cellStyle name="Normal 12 2 2 4" xfId="1185" xr:uid="{00000000-0005-0000-0000-0000E70D0000}"/>
    <cellStyle name="Normal 12 2 2 4 2" xfId="3416" xr:uid="{00000000-0005-0000-0000-0000E80D0000}"/>
    <cellStyle name="Normal 12 2 2 4 2 2" xfId="7639" xr:uid="{00000000-0005-0000-0000-0000E90D0000}"/>
    <cellStyle name="Normal 12 2 2 4 2 2 2" xfId="16078" xr:uid="{ABC964C9-5CE9-41BC-83D0-FFB888D67AA8}"/>
    <cellStyle name="Normal 12 2 2 4 2 3" xfId="11860" xr:uid="{2905E807-42D3-4D36-BAD8-90F7C39CD123}"/>
    <cellStyle name="Normal 12 2 2 4 3" xfId="5494" xr:uid="{00000000-0005-0000-0000-0000EA0D0000}"/>
    <cellStyle name="Normal 12 2 2 4 3 2" xfId="13933" xr:uid="{6F976563-0D97-41A1-9C34-D74755D3D98E}"/>
    <cellStyle name="Normal 12 2 2 4 4" xfId="9715" xr:uid="{C19644B5-ABA4-4F76-8808-02B53B1E7467}"/>
    <cellStyle name="Normal 12 2 2 5" xfId="1599" xr:uid="{00000000-0005-0000-0000-0000EB0D0000}"/>
    <cellStyle name="Normal 12 2 2 5 2" xfId="3829" xr:uid="{00000000-0005-0000-0000-0000EC0D0000}"/>
    <cellStyle name="Normal 12 2 2 5 2 2" xfId="8052" xr:uid="{00000000-0005-0000-0000-0000ED0D0000}"/>
    <cellStyle name="Normal 12 2 2 5 2 2 2" xfId="16491" xr:uid="{76210D5D-D4F2-40AE-9094-721810165C3F}"/>
    <cellStyle name="Normal 12 2 2 5 2 3" xfId="12273" xr:uid="{62062F37-582F-4432-AFB1-1F86FA841B1B}"/>
    <cellStyle name="Normal 12 2 2 5 3" xfId="5907" xr:uid="{00000000-0005-0000-0000-0000EE0D0000}"/>
    <cellStyle name="Normal 12 2 2 5 3 2" xfId="14346" xr:uid="{95B90C14-6538-42FF-BD5F-FD46F9CB5171}"/>
    <cellStyle name="Normal 12 2 2 5 4" xfId="10128" xr:uid="{FACF91D8-ECB1-487C-BF09-270C7E93C665}"/>
    <cellStyle name="Normal 12 2 2 6" xfId="2013" xr:uid="{00000000-0005-0000-0000-0000EF0D0000}"/>
    <cellStyle name="Normal 12 2 2 6 2" xfId="4242" xr:uid="{00000000-0005-0000-0000-0000F00D0000}"/>
    <cellStyle name="Normal 12 2 2 6 2 2" xfId="8465" xr:uid="{00000000-0005-0000-0000-0000F10D0000}"/>
    <cellStyle name="Normal 12 2 2 6 2 2 2" xfId="16904" xr:uid="{291022D1-D545-4518-B928-5B982266068D}"/>
    <cellStyle name="Normal 12 2 2 6 2 3" xfId="12686" xr:uid="{9266A543-4129-4168-8B37-8296B628DF6C}"/>
    <cellStyle name="Normal 12 2 2 6 3" xfId="6320" xr:uid="{00000000-0005-0000-0000-0000F20D0000}"/>
    <cellStyle name="Normal 12 2 2 6 3 2" xfId="14759" xr:uid="{F2A8D76A-5B2C-46E9-8400-719408FF567C}"/>
    <cellStyle name="Normal 12 2 2 6 4" xfId="10541" xr:uid="{7F7D31AE-B7D9-4455-B461-925E6C9F2375}"/>
    <cellStyle name="Normal 12 2 2 7" xfId="2449" xr:uid="{00000000-0005-0000-0000-0000F30D0000}"/>
    <cellStyle name="Normal 12 2 2 7 2" xfId="6733" xr:uid="{00000000-0005-0000-0000-0000F40D0000}"/>
    <cellStyle name="Normal 12 2 2 7 2 2" xfId="15172" xr:uid="{AA07D0B2-2F2E-443A-B381-53D7DA3CD31C}"/>
    <cellStyle name="Normal 12 2 2 7 3" xfId="10954" xr:uid="{2F18230A-FAEC-4069-8A44-751E9AE625AC}"/>
    <cellStyle name="Normal 12 2 2 8" xfId="4667" xr:uid="{00000000-0005-0000-0000-0000F50D0000}"/>
    <cellStyle name="Normal 12 2 2 8 2" xfId="13106" xr:uid="{84F35CA2-E0A0-411A-B2C8-744DBCBA0288}"/>
    <cellStyle name="Normal 12 2 2 9" xfId="8888" xr:uid="{0418FEDD-1F50-44CD-8F34-8B87C6750D9E}"/>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15667" xr:uid="{64FB7D5E-519A-4FCE-9A2B-F0FD1F6326F2}"/>
    <cellStyle name="Normal 12 2 3 2 2 3" xfId="11449" xr:uid="{BCB4BFC4-EC64-4499-8B6D-9C0BCFFEEB3E}"/>
    <cellStyle name="Normal 12 2 3 2 3" xfId="5083" xr:uid="{00000000-0005-0000-0000-0000FA0D0000}"/>
    <cellStyle name="Normal 12 2 3 2 3 2" xfId="13522" xr:uid="{38796485-CD8F-4348-BABF-537000404BFA}"/>
    <cellStyle name="Normal 12 2 3 2 4" xfId="9304" xr:uid="{4B0CFCFF-DA3E-41F7-B5F7-7ABB5035E797}"/>
    <cellStyle name="Normal 12 2 3 3" xfId="1187" xr:uid="{00000000-0005-0000-0000-0000FB0D0000}"/>
    <cellStyle name="Normal 12 2 3 3 2" xfId="3418" xr:uid="{00000000-0005-0000-0000-0000FC0D0000}"/>
    <cellStyle name="Normal 12 2 3 3 2 2" xfId="7641" xr:uid="{00000000-0005-0000-0000-0000FD0D0000}"/>
    <cellStyle name="Normal 12 2 3 3 2 2 2" xfId="16080" xr:uid="{6636A456-F218-4C68-ABA6-D1F8357F07A1}"/>
    <cellStyle name="Normal 12 2 3 3 2 3" xfId="11862" xr:uid="{5E175CCD-A080-4CC7-A256-8CA8187A6CFD}"/>
    <cellStyle name="Normal 12 2 3 3 3" xfId="5496" xr:uid="{00000000-0005-0000-0000-0000FE0D0000}"/>
    <cellStyle name="Normal 12 2 3 3 3 2" xfId="13935" xr:uid="{AE77D944-847A-4EB9-9D98-AD0F1DF7789E}"/>
    <cellStyle name="Normal 12 2 3 3 4" xfId="9717" xr:uid="{5C7E1746-6577-472E-A53D-A4E69F1D8CF2}"/>
    <cellStyle name="Normal 12 2 3 4" xfId="1601" xr:uid="{00000000-0005-0000-0000-0000FF0D0000}"/>
    <cellStyle name="Normal 12 2 3 4 2" xfId="3831" xr:uid="{00000000-0005-0000-0000-0000000E0000}"/>
    <cellStyle name="Normal 12 2 3 4 2 2" xfId="8054" xr:uid="{00000000-0005-0000-0000-0000010E0000}"/>
    <cellStyle name="Normal 12 2 3 4 2 2 2" xfId="16493" xr:uid="{E8951E58-4743-460B-826E-79F31400B9CE}"/>
    <cellStyle name="Normal 12 2 3 4 2 3" xfId="12275" xr:uid="{03338F27-194E-43A3-BE8D-25505275E5DA}"/>
    <cellStyle name="Normal 12 2 3 4 3" xfId="5909" xr:uid="{00000000-0005-0000-0000-0000020E0000}"/>
    <cellStyle name="Normal 12 2 3 4 3 2" xfId="14348" xr:uid="{93804A03-FD59-4ED9-8292-6F4ABD2A51FE}"/>
    <cellStyle name="Normal 12 2 3 4 4" xfId="10130" xr:uid="{2E13A6CF-5AB2-4DEF-98C1-0A2C06AEC609}"/>
    <cellStyle name="Normal 12 2 3 5" xfId="2015" xr:uid="{00000000-0005-0000-0000-0000030E0000}"/>
    <cellStyle name="Normal 12 2 3 5 2" xfId="4244" xr:uid="{00000000-0005-0000-0000-0000040E0000}"/>
    <cellStyle name="Normal 12 2 3 5 2 2" xfId="8467" xr:uid="{00000000-0005-0000-0000-0000050E0000}"/>
    <cellStyle name="Normal 12 2 3 5 2 2 2" xfId="16906" xr:uid="{D8346E65-9FB9-4750-BF93-A076BA92BB36}"/>
    <cellStyle name="Normal 12 2 3 5 2 3" xfId="12688" xr:uid="{C7842333-B51C-40E2-941B-8C5675D58F95}"/>
    <cellStyle name="Normal 12 2 3 5 3" xfId="6322" xr:uid="{00000000-0005-0000-0000-0000060E0000}"/>
    <cellStyle name="Normal 12 2 3 5 3 2" xfId="14761" xr:uid="{A9A9C3EE-66FF-4223-8625-A215872434F3}"/>
    <cellStyle name="Normal 12 2 3 5 4" xfId="10543" xr:uid="{E8CB0C6D-42DA-4547-8B0F-34491492417D}"/>
    <cellStyle name="Normal 12 2 3 6" xfId="2451" xr:uid="{00000000-0005-0000-0000-0000070E0000}"/>
    <cellStyle name="Normal 12 2 3 6 2" xfId="6735" xr:uid="{00000000-0005-0000-0000-0000080E0000}"/>
    <cellStyle name="Normal 12 2 3 6 2 2" xfId="15174" xr:uid="{068E3B04-B90D-4A2C-BB25-EFB83B3165CB}"/>
    <cellStyle name="Normal 12 2 3 6 3" xfId="10956" xr:uid="{19ED0F51-D653-4E21-B386-477B14215312}"/>
    <cellStyle name="Normal 12 2 3 7" xfId="4669" xr:uid="{00000000-0005-0000-0000-0000090E0000}"/>
    <cellStyle name="Normal 12 2 3 7 2" xfId="13108" xr:uid="{99C83C63-FF8B-4DF7-8FC9-A723D43A48EC}"/>
    <cellStyle name="Normal 12 2 3 8" xfId="8890" xr:uid="{FC64D1EC-9D73-4841-890C-E5A48B1B26BD}"/>
    <cellStyle name="Normal 12 2 4" xfId="761" xr:uid="{00000000-0005-0000-0000-00000A0E0000}"/>
    <cellStyle name="Normal 12 2 4 2" xfId="3002" xr:uid="{00000000-0005-0000-0000-00000B0E0000}"/>
    <cellStyle name="Normal 12 2 4 2 2" xfId="7225" xr:uid="{00000000-0005-0000-0000-00000C0E0000}"/>
    <cellStyle name="Normal 12 2 4 2 2 2" xfId="15664" xr:uid="{33C321D6-E518-47FD-9AAD-D7C12B5258E0}"/>
    <cellStyle name="Normal 12 2 4 2 3" xfId="11446" xr:uid="{6C953EA4-ECF9-4BF6-B416-524E52A9DF47}"/>
    <cellStyle name="Normal 12 2 4 3" xfId="5080" xr:uid="{00000000-0005-0000-0000-00000D0E0000}"/>
    <cellStyle name="Normal 12 2 4 3 2" xfId="13519" xr:uid="{C9DC6B5F-3C49-4F56-A7CF-3AF7B064EB70}"/>
    <cellStyle name="Normal 12 2 4 4" xfId="9301" xr:uid="{01497B63-D204-4B4A-8209-3D9F2A0C89AD}"/>
    <cellStyle name="Normal 12 2 5" xfId="1184" xr:uid="{00000000-0005-0000-0000-00000E0E0000}"/>
    <cellStyle name="Normal 12 2 5 2" xfId="3415" xr:uid="{00000000-0005-0000-0000-00000F0E0000}"/>
    <cellStyle name="Normal 12 2 5 2 2" xfId="7638" xr:uid="{00000000-0005-0000-0000-0000100E0000}"/>
    <cellStyle name="Normal 12 2 5 2 2 2" xfId="16077" xr:uid="{CB52FCCA-4541-4467-AF7A-89C80AE99454}"/>
    <cellStyle name="Normal 12 2 5 2 3" xfId="11859" xr:uid="{7DF33794-63A1-4AE6-868B-4D9A047E572A}"/>
    <cellStyle name="Normal 12 2 5 3" xfId="5493" xr:uid="{00000000-0005-0000-0000-0000110E0000}"/>
    <cellStyle name="Normal 12 2 5 3 2" xfId="13932" xr:uid="{AB76516D-A7C8-492A-9B48-880F6709E063}"/>
    <cellStyle name="Normal 12 2 5 4" xfId="9714" xr:uid="{83412AEE-9941-40E7-AB6C-6AFC5ACC0C4A}"/>
    <cellStyle name="Normal 12 2 6" xfId="1598" xr:uid="{00000000-0005-0000-0000-0000120E0000}"/>
    <cellStyle name="Normal 12 2 6 2" xfId="3828" xr:uid="{00000000-0005-0000-0000-0000130E0000}"/>
    <cellStyle name="Normal 12 2 6 2 2" xfId="8051" xr:uid="{00000000-0005-0000-0000-0000140E0000}"/>
    <cellStyle name="Normal 12 2 6 2 2 2" xfId="16490" xr:uid="{44A42AD9-AC17-440F-8010-1996C9A6FDCA}"/>
    <cellStyle name="Normal 12 2 6 2 3" xfId="12272" xr:uid="{D9D93081-8632-4E6A-9C98-C3A3FB9043DD}"/>
    <cellStyle name="Normal 12 2 6 3" xfId="5906" xr:uid="{00000000-0005-0000-0000-0000150E0000}"/>
    <cellStyle name="Normal 12 2 6 3 2" xfId="14345" xr:uid="{0482F8E6-D9BF-4697-9AF8-11EA9BEF29F6}"/>
    <cellStyle name="Normal 12 2 6 4" xfId="10127" xr:uid="{F1E26E33-F7A9-481E-9476-24BB1B2A9E3F}"/>
    <cellStyle name="Normal 12 2 7" xfId="2012" xr:uid="{00000000-0005-0000-0000-0000160E0000}"/>
    <cellStyle name="Normal 12 2 7 2" xfId="4241" xr:uid="{00000000-0005-0000-0000-0000170E0000}"/>
    <cellStyle name="Normal 12 2 7 2 2" xfId="8464" xr:uid="{00000000-0005-0000-0000-0000180E0000}"/>
    <cellStyle name="Normal 12 2 7 2 2 2" xfId="16903" xr:uid="{8EFAB4D5-7A36-447A-9530-72DD4DA40F39}"/>
    <cellStyle name="Normal 12 2 7 2 3" xfId="12685" xr:uid="{4FA09339-2909-43A0-A0E4-B1087D7130FC}"/>
    <cellStyle name="Normal 12 2 7 3" xfId="6319" xr:uid="{00000000-0005-0000-0000-0000190E0000}"/>
    <cellStyle name="Normal 12 2 7 3 2" xfId="14758" xr:uid="{22C1C7DD-5EE4-4692-9D56-8FF21AF05638}"/>
    <cellStyle name="Normal 12 2 7 4" xfId="10540" xr:uid="{0D5FBB43-1966-471B-BC2C-28F974B6C3E2}"/>
    <cellStyle name="Normal 12 2 8" xfId="2448" xr:uid="{00000000-0005-0000-0000-00001A0E0000}"/>
    <cellStyle name="Normal 12 2 8 2" xfId="6732" xr:uid="{00000000-0005-0000-0000-00001B0E0000}"/>
    <cellStyle name="Normal 12 2 8 2 2" xfId="15171" xr:uid="{996BF827-7AC9-446E-B029-4D6692ECF612}"/>
    <cellStyle name="Normal 12 2 8 3" xfId="10953" xr:uid="{B46D00A4-54C9-4322-B7C8-12F5105ECF3D}"/>
    <cellStyle name="Normal 12 2 9" xfId="4666" xr:uid="{00000000-0005-0000-0000-00001C0E0000}"/>
    <cellStyle name="Normal 12 2 9 2" xfId="13105" xr:uid="{29837664-ACB3-4DE2-BF4C-2C1B39631E2A}"/>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15669" xr:uid="{EC0854CE-8AF5-421B-B22F-C2C4A2293DFE}"/>
    <cellStyle name="Normal 12 3 2 2 2 3" xfId="11451" xr:uid="{A0800150-C8A1-44F1-B2B4-EB99E41840C9}"/>
    <cellStyle name="Normal 12 3 2 2 3" xfId="5085" xr:uid="{00000000-0005-0000-0000-0000220E0000}"/>
    <cellStyle name="Normal 12 3 2 2 3 2" xfId="13524" xr:uid="{5BDC8ACE-D6A2-42DF-9C35-8C154C871EA9}"/>
    <cellStyle name="Normal 12 3 2 2 4" xfId="9306" xr:uid="{F8CD56AE-7CA1-4F92-9930-153B33845414}"/>
    <cellStyle name="Normal 12 3 2 3" xfId="1189" xr:uid="{00000000-0005-0000-0000-0000230E0000}"/>
    <cellStyle name="Normal 12 3 2 3 2" xfId="3420" xr:uid="{00000000-0005-0000-0000-0000240E0000}"/>
    <cellStyle name="Normal 12 3 2 3 2 2" xfId="7643" xr:uid="{00000000-0005-0000-0000-0000250E0000}"/>
    <cellStyle name="Normal 12 3 2 3 2 2 2" xfId="16082" xr:uid="{6DF92E08-DCED-42B6-8CA8-58EE0BAD189B}"/>
    <cellStyle name="Normal 12 3 2 3 2 3" xfId="11864" xr:uid="{F7FE4A81-FEE1-4943-9670-40D32A7768CD}"/>
    <cellStyle name="Normal 12 3 2 3 3" xfId="5498" xr:uid="{00000000-0005-0000-0000-0000260E0000}"/>
    <cellStyle name="Normal 12 3 2 3 3 2" xfId="13937" xr:uid="{D615507A-338D-412A-8FEB-E88DB286C631}"/>
    <cellStyle name="Normal 12 3 2 3 4" xfId="9719" xr:uid="{F4C842ED-7315-4745-AADA-E45260538CA8}"/>
    <cellStyle name="Normal 12 3 2 4" xfId="1603" xr:uid="{00000000-0005-0000-0000-0000270E0000}"/>
    <cellStyle name="Normal 12 3 2 4 2" xfId="3833" xr:uid="{00000000-0005-0000-0000-0000280E0000}"/>
    <cellStyle name="Normal 12 3 2 4 2 2" xfId="8056" xr:uid="{00000000-0005-0000-0000-0000290E0000}"/>
    <cellStyle name="Normal 12 3 2 4 2 2 2" xfId="16495" xr:uid="{B25C034A-9E7F-4CEB-8AE0-21BE91E68DDE}"/>
    <cellStyle name="Normal 12 3 2 4 2 3" xfId="12277" xr:uid="{D2FA155D-D2BF-4230-B9DC-D0544A07C227}"/>
    <cellStyle name="Normal 12 3 2 4 3" xfId="5911" xr:uid="{00000000-0005-0000-0000-00002A0E0000}"/>
    <cellStyle name="Normal 12 3 2 4 3 2" xfId="14350" xr:uid="{7D666A0E-4188-461B-958B-13A3A4E75128}"/>
    <cellStyle name="Normal 12 3 2 4 4" xfId="10132" xr:uid="{C7E5CF1E-24DE-49F6-8177-1A1B4AB5C7FB}"/>
    <cellStyle name="Normal 12 3 2 5" xfId="2017" xr:uid="{00000000-0005-0000-0000-00002B0E0000}"/>
    <cellStyle name="Normal 12 3 2 5 2" xfId="4246" xr:uid="{00000000-0005-0000-0000-00002C0E0000}"/>
    <cellStyle name="Normal 12 3 2 5 2 2" xfId="8469" xr:uid="{00000000-0005-0000-0000-00002D0E0000}"/>
    <cellStyle name="Normal 12 3 2 5 2 2 2" xfId="16908" xr:uid="{55BC7BF6-80CA-4C79-83B9-A47283FA3E3A}"/>
    <cellStyle name="Normal 12 3 2 5 2 3" xfId="12690" xr:uid="{35A4894E-2D79-46C5-960D-1267BA8D93F5}"/>
    <cellStyle name="Normal 12 3 2 5 3" xfId="6324" xr:uid="{00000000-0005-0000-0000-00002E0E0000}"/>
    <cellStyle name="Normal 12 3 2 5 3 2" xfId="14763" xr:uid="{F814740E-C8D4-4F7B-99B8-73DB0DB62502}"/>
    <cellStyle name="Normal 12 3 2 5 4" xfId="10545" xr:uid="{EE33BB76-F758-4C4F-AE9F-9ABCB468FA87}"/>
    <cellStyle name="Normal 12 3 2 6" xfId="2453" xr:uid="{00000000-0005-0000-0000-00002F0E0000}"/>
    <cellStyle name="Normal 12 3 2 6 2" xfId="6737" xr:uid="{00000000-0005-0000-0000-0000300E0000}"/>
    <cellStyle name="Normal 12 3 2 6 2 2" xfId="15176" xr:uid="{EF05FC9A-4177-4AFA-B940-0500D209ABB8}"/>
    <cellStyle name="Normal 12 3 2 6 3" xfId="10958" xr:uid="{55738F11-7368-43EE-A513-D6BD7437D31C}"/>
    <cellStyle name="Normal 12 3 2 7" xfId="4671" xr:uid="{00000000-0005-0000-0000-0000310E0000}"/>
    <cellStyle name="Normal 12 3 2 7 2" xfId="13110" xr:uid="{CB8DAB38-7CF1-4168-B9E1-5D07E4D62688}"/>
    <cellStyle name="Normal 12 3 2 8" xfId="8892" xr:uid="{54DF71C3-F217-4AE1-BD7F-F2D1287F166F}"/>
    <cellStyle name="Normal 12 3 3" xfId="765" xr:uid="{00000000-0005-0000-0000-0000320E0000}"/>
    <cellStyle name="Normal 12 3 3 2" xfId="3006" xr:uid="{00000000-0005-0000-0000-0000330E0000}"/>
    <cellStyle name="Normal 12 3 3 2 2" xfId="7229" xr:uid="{00000000-0005-0000-0000-0000340E0000}"/>
    <cellStyle name="Normal 12 3 3 2 2 2" xfId="15668" xr:uid="{88761496-F271-4210-8B02-DA685F3B14BF}"/>
    <cellStyle name="Normal 12 3 3 2 3" xfId="11450" xr:uid="{8A62A89C-25BB-478F-B890-882D49524796}"/>
    <cellStyle name="Normal 12 3 3 3" xfId="5084" xr:uid="{00000000-0005-0000-0000-0000350E0000}"/>
    <cellStyle name="Normal 12 3 3 3 2" xfId="13523" xr:uid="{06CF9778-B10D-4748-9C1C-A484379D7FD9}"/>
    <cellStyle name="Normal 12 3 3 4" xfId="9305" xr:uid="{0DAFCADB-5512-480D-A192-4E22D95064A2}"/>
    <cellStyle name="Normal 12 3 4" xfId="1188" xr:uid="{00000000-0005-0000-0000-0000360E0000}"/>
    <cellStyle name="Normal 12 3 4 2" xfId="3419" xr:uid="{00000000-0005-0000-0000-0000370E0000}"/>
    <cellStyle name="Normal 12 3 4 2 2" xfId="7642" xr:uid="{00000000-0005-0000-0000-0000380E0000}"/>
    <cellStyle name="Normal 12 3 4 2 2 2" xfId="16081" xr:uid="{590A667A-B9ED-46A2-98F8-B81B6F297CC0}"/>
    <cellStyle name="Normal 12 3 4 2 3" xfId="11863" xr:uid="{C3A77CC1-6506-475A-8512-D7CC136E8607}"/>
    <cellStyle name="Normal 12 3 4 3" xfId="5497" xr:uid="{00000000-0005-0000-0000-0000390E0000}"/>
    <cellStyle name="Normal 12 3 4 3 2" xfId="13936" xr:uid="{368C8CFE-DEC9-4206-92CF-0FF90790C488}"/>
    <cellStyle name="Normal 12 3 4 4" xfId="9718" xr:uid="{DC912C58-82EB-4A17-BA2E-6E00C8DBBD98}"/>
    <cellStyle name="Normal 12 3 5" xfId="1602" xr:uid="{00000000-0005-0000-0000-00003A0E0000}"/>
    <cellStyle name="Normal 12 3 5 2" xfId="3832" xr:uid="{00000000-0005-0000-0000-00003B0E0000}"/>
    <cellStyle name="Normal 12 3 5 2 2" xfId="8055" xr:uid="{00000000-0005-0000-0000-00003C0E0000}"/>
    <cellStyle name="Normal 12 3 5 2 2 2" xfId="16494" xr:uid="{F52D88B8-3E9C-42A7-B7FF-0B64164782FF}"/>
    <cellStyle name="Normal 12 3 5 2 3" xfId="12276" xr:uid="{9034B925-728D-460B-80A4-A3CAB81EB802}"/>
    <cellStyle name="Normal 12 3 5 3" xfId="5910" xr:uid="{00000000-0005-0000-0000-00003D0E0000}"/>
    <cellStyle name="Normal 12 3 5 3 2" xfId="14349" xr:uid="{9F4FD642-E852-4BF1-8900-DC825DA56F58}"/>
    <cellStyle name="Normal 12 3 5 4" xfId="10131" xr:uid="{227C23C1-D003-4502-A462-727BA65F1044}"/>
    <cellStyle name="Normal 12 3 6" xfId="2016" xr:uid="{00000000-0005-0000-0000-00003E0E0000}"/>
    <cellStyle name="Normal 12 3 6 2" xfId="4245" xr:uid="{00000000-0005-0000-0000-00003F0E0000}"/>
    <cellStyle name="Normal 12 3 6 2 2" xfId="8468" xr:uid="{00000000-0005-0000-0000-0000400E0000}"/>
    <cellStyle name="Normal 12 3 6 2 2 2" xfId="16907" xr:uid="{0EF6D475-42BB-4E94-8C2E-499EF3B012AE}"/>
    <cellStyle name="Normal 12 3 6 2 3" xfId="12689" xr:uid="{56269F23-D305-4DF8-B0F5-F40E09D8CBA0}"/>
    <cellStyle name="Normal 12 3 6 3" xfId="6323" xr:uid="{00000000-0005-0000-0000-0000410E0000}"/>
    <cellStyle name="Normal 12 3 6 3 2" xfId="14762" xr:uid="{BAEEA290-2B20-4893-B4E5-CE2D083A0967}"/>
    <cellStyle name="Normal 12 3 6 4" xfId="10544" xr:uid="{BAB2FCB0-3C15-40E3-BCE5-13868F32983C}"/>
    <cellStyle name="Normal 12 3 7" xfId="2452" xr:uid="{00000000-0005-0000-0000-0000420E0000}"/>
    <cellStyle name="Normal 12 3 7 2" xfId="6736" xr:uid="{00000000-0005-0000-0000-0000430E0000}"/>
    <cellStyle name="Normal 12 3 7 2 2" xfId="15175" xr:uid="{7DE50121-9A8D-4FC6-9018-88F3917337CE}"/>
    <cellStyle name="Normal 12 3 7 3" xfId="10957" xr:uid="{5EAFEEC3-108E-4147-9B40-BCA6AA443C31}"/>
    <cellStyle name="Normal 12 3 8" xfId="4670" xr:uid="{00000000-0005-0000-0000-0000440E0000}"/>
    <cellStyle name="Normal 12 3 8 2" xfId="13109" xr:uid="{3E030FDB-BCB9-49A3-80A2-B607691A2C45}"/>
    <cellStyle name="Normal 12 3 9" xfId="8891" xr:uid="{ECC8BE76-18C1-421E-887F-2B206B4B7C8B}"/>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15670" xr:uid="{8620AFD0-06B9-490F-8BC9-349081B53A49}"/>
    <cellStyle name="Normal 12 4 2 2 3" xfId="11452" xr:uid="{8251BBEE-A485-4706-8281-F5AA61DED14B}"/>
    <cellStyle name="Normal 12 4 2 3" xfId="5086" xr:uid="{00000000-0005-0000-0000-0000490E0000}"/>
    <cellStyle name="Normal 12 4 2 3 2" xfId="13525" xr:uid="{8150AE63-A7EC-45FB-9625-918A6FAE7E00}"/>
    <cellStyle name="Normal 12 4 2 4" xfId="9307" xr:uid="{FB2963AE-068F-4368-BE2A-0D7D0EA8A99B}"/>
    <cellStyle name="Normal 12 4 3" xfId="1190" xr:uid="{00000000-0005-0000-0000-00004A0E0000}"/>
    <cellStyle name="Normal 12 4 3 2" xfId="3421" xr:uid="{00000000-0005-0000-0000-00004B0E0000}"/>
    <cellStyle name="Normal 12 4 3 2 2" xfId="7644" xr:uid="{00000000-0005-0000-0000-00004C0E0000}"/>
    <cellStyle name="Normal 12 4 3 2 2 2" xfId="16083" xr:uid="{84BDCF75-F82C-4A7F-A449-49EC9FF12505}"/>
    <cellStyle name="Normal 12 4 3 2 3" xfId="11865" xr:uid="{F8CF556A-BEA3-4E81-83BC-710DDCE725A9}"/>
    <cellStyle name="Normal 12 4 3 3" xfId="5499" xr:uid="{00000000-0005-0000-0000-00004D0E0000}"/>
    <cellStyle name="Normal 12 4 3 3 2" xfId="13938" xr:uid="{FDE06A50-300A-441D-86FE-2579D46E99D2}"/>
    <cellStyle name="Normal 12 4 3 4" xfId="9720" xr:uid="{AE3F4603-3A1B-4BE7-884C-7E63260D1AEC}"/>
    <cellStyle name="Normal 12 4 4" xfId="1604" xr:uid="{00000000-0005-0000-0000-00004E0E0000}"/>
    <cellStyle name="Normal 12 4 4 2" xfId="3834" xr:uid="{00000000-0005-0000-0000-00004F0E0000}"/>
    <cellStyle name="Normal 12 4 4 2 2" xfId="8057" xr:uid="{00000000-0005-0000-0000-0000500E0000}"/>
    <cellStyle name="Normal 12 4 4 2 2 2" xfId="16496" xr:uid="{B2B88889-0A98-464B-9FB6-9C682FC7D502}"/>
    <cellStyle name="Normal 12 4 4 2 3" xfId="12278" xr:uid="{ED149FDB-DC4A-4D81-B2FE-3D694B9DD3F8}"/>
    <cellStyle name="Normal 12 4 4 3" xfId="5912" xr:uid="{00000000-0005-0000-0000-0000510E0000}"/>
    <cellStyle name="Normal 12 4 4 3 2" xfId="14351" xr:uid="{C0ED0671-67F5-48CF-B757-52DEF0C56F91}"/>
    <cellStyle name="Normal 12 4 4 4" xfId="10133" xr:uid="{000DFA44-D9B7-4ABB-9430-6456651829A1}"/>
    <cellStyle name="Normal 12 4 5" xfId="2018" xr:uid="{00000000-0005-0000-0000-0000520E0000}"/>
    <cellStyle name="Normal 12 4 5 2" xfId="4247" xr:uid="{00000000-0005-0000-0000-0000530E0000}"/>
    <cellStyle name="Normal 12 4 5 2 2" xfId="8470" xr:uid="{00000000-0005-0000-0000-0000540E0000}"/>
    <cellStyle name="Normal 12 4 5 2 2 2" xfId="16909" xr:uid="{D4588B98-C0C8-4171-AA39-DDEA1189D978}"/>
    <cellStyle name="Normal 12 4 5 2 3" xfId="12691" xr:uid="{5B55AF80-A569-4DDE-A08C-315C95184C1A}"/>
    <cellStyle name="Normal 12 4 5 3" xfId="6325" xr:uid="{00000000-0005-0000-0000-0000550E0000}"/>
    <cellStyle name="Normal 12 4 5 3 2" xfId="14764" xr:uid="{FE890F3E-7C43-4033-941E-0934502BFEAF}"/>
    <cellStyle name="Normal 12 4 5 4" xfId="10546" xr:uid="{9CD1F995-1E31-4875-88BE-20DD4696FD50}"/>
    <cellStyle name="Normal 12 4 6" xfId="2454" xr:uid="{00000000-0005-0000-0000-0000560E0000}"/>
    <cellStyle name="Normal 12 4 6 2" xfId="6738" xr:uid="{00000000-0005-0000-0000-0000570E0000}"/>
    <cellStyle name="Normal 12 4 6 2 2" xfId="15177" xr:uid="{05515F10-B3E0-4154-9EF0-4EED0F297B67}"/>
    <cellStyle name="Normal 12 4 6 3" xfId="10959" xr:uid="{546E50E6-72AF-4A16-9406-54577FB8378C}"/>
    <cellStyle name="Normal 12 4 7" xfId="4672" xr:uid="{00000000-0005-0000-0000-0000580E0000}"/>
    <cellStyle name="Normal 12 4 7 2" xfId="13111" xr:uid="{965C0BC4-9E7E-487B-B095-D06B2530F307}"/>
    <cellStyle name="Normal 12 4 8" xfId="8893" xr:uid="{A7D58910-7192-4557-8E3C-5C2D48954771}"/>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5663" xr:uid="{D11DE609-43CA-4824-9A03-65BDD5D7B5F7}"/>
    <cellStyle name="Normal 12 6 2 3" xfId="11445" xr:uid="{F20F99B1-A5F5-4CFD-BBEB-E2536A0A8710}"/>
    <cellStyle name="Normal 12 6 3" xfId="5079" xr:uid="{00000000-0005-0000-0000-00005D0E0000}"/>
    <cellStyle name="Normal 12 6 3 2" xfId="13518" xr:uid="{50F88B0B-D1B5-4A1B-A7DB-7B8B696C3A2E}"/>
    <cellStyle name="Normal 12 6 4" xfId="9300" xr:uid="{408EF698-0833-4621-BF91-C5E9269A6136}"/>
    <cellStyle name="Normal 12 7" xfId="1183" xr:uid="{00000000-0005-0000-0000-00005E0E0000}"/>
    <cellStyle name="Normal 12 7 2" xfId="3414" xr:uid="{00000000-0005-0000-0000-00005F0E0000}"/>
    <cellStyle name="Normal 12 7 2 2" xfId="7637" xr:uid="{00000000-0005-0000-0000-0000600E0000}"/>
    <cellStyle name="Normal 12 7 2 2 2" xfId="16076" xr:uid="{E865F3D4-A810-4754-A851-E17C8F92BE95}"/>
    <cellStyle name="Normal 12 7 2 3" xfId="11858" xr:uid="{9B9031EB-77C3-49DA-ACF5-564FBA81310B}"/>
    <cellStyle name="Normal 12 7 3" xfId="5492" xr:uid="{00000000-0005-0000-0000-0000610E0000}"/>
    <cellStyle name="Normal 12 7 3 2" xfId="13931" xr:uid="{B299A547-600D-46E5-84A4-DD01C81D8FEE}"/>
    <cellStyle name="Normal 12 7 4" xfId="9713" xr:uid="{E8DF0CA6-1F59-400B-A38E-EA79E78878A8}"/>
    <cellStyle name="Normal 12 8" xfId="1597" xr:uid="{00000000-0005-0000-0000-0000620E0000}"/>
    <cellStyle name="Normal 12 8 2" xfId="3827" xr:uid="{00000000-0005-0000-0000-0000630E0000}"/>
    <cellStyle name="Normal 12 8 2 2" xfId="8050" xr:uid="{00000000-0005-0000-0000-0000640E0000}"/>
    <cellStyle name="Normal 12 8 2 2 2" xfId="16489" xr:uid="{394B7EF6-6808-483C-9E98-2EA12839B249}"/>
    <cellStyle name="Normal 12 8 2 3" xfId="12271" xr:uid="{D1C094C2-D1A9-4250-BF6A-A335F8C07B3A}"/>
    <cellStyle name="Normal 12 8 3" xfId="5905" xr:uid="{00000000-0005-0000-0000-0000650E0000}"/>
    <cellStyle name="Normal 12 8 3 2" xfId="14344" xr:uid="{B4A62DDC-65EF-45D1-BD87-09615B92E7CB}"/>
    <cellStyle name="Normal 12 8 4" xfId="10126" xr:uid="{BB234326-621E-42F9-9A7F-2FAA3934701E}"/>
    <cellStyle name="Normal 12 9" xfId="2011" xr:uid="{00000000-0005-0000-0000-0000660E0000}"/>
    <cellStyle name="Normal 12 9 2" xfId="4240" xr:uid="{00000000-0005-0000-0000-0000670E0000}"/>
    <cellStyle name="Normal 12 9 2 2" xfId="8463" xr:uid="{00000000-0005-0000-0000-0000680E0000}"/>
    <cellStyle name="Normal 12 9 2 2 2" xfId="16902" xr:uid="{D39077FC-22BF-44B1-A390-62B3E8B23597}"/>
    <cellStyle name="Normal 12 9 2 3" xfId="12684" xr:uid="{0599DE1B-B873-4BEC-BC4C-A6482A769C32}"/>
    <cellStyle name="Normal 12 9 3" xfId="6318" xr:uid="{00000000-0005-0000-0000-0000690E0000}"/>
    <cellStyle name="Normal 12 9 3 2" xfId="14757" xr:uid="{83DEFE67-3BE5-413B-9464-BCC78B7BF736}"/>
    <cellStyle name="Normal 12 9 4" xfId="10539" xr:uid="{E97D0266-5FED-455D-846C-1CCBF47B29F8}"/>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15671" xr:uid="{8E2FF81B-90A5-485D-8A32-5ABFDF18A413}"/>
    <cellStyle name="Normal 14 2 2 3" xfId="11453" xr:uid="{7236C595-69D9-44C4-A26F-FDB25DDE03A6}"/>
    <cellStyle name="Normal 14 2 3" xfId="5087" xr:uid="{00000000-0005-0000-0000-0000700E0000}"/>
    <cellStyle name="Normal 14 2 3 2" xfId="13526" xr:uid="{82A15F13-5DAC-4588-924E-475B65530E3A}"/>
    <cellStyle name="Normal 14 2 4" xfId="9308" xr:uid="{7E865CAF-8602-4254-B74E-FC74670D6C21}"/>
    <cellStyle name="Normal 14 3" xfId="1191" xr:uid="{00000000-0005-0000-0000-0000710E0000}"/>
    <cellStyle name="Normal 14 3 2" xfId="3422" xr:uid="{00000000-0005-0000-0000-0000720E0000}"/>
    <cellStyle name="Normal 14 3 2 2" xfId="7645" xr:uid="{00000000-0005-0000-0000-0000730E0000}"/>
    <cellStyle name="Normal 14 3 2 2 2" xfId="16084" xr:uid="{5E4F1B9E-FAEC-4500-9908-BB2E8B64FCA7}"/>
    <cellStyle name="Normal 14 3 2 3" xfId="11866" xr:uid="{C075885D-3279-4CE1-8A58-8AFFCD992F72}"/>
    <cellStyle name="Normal 14 3 3" xfId="5500" xr:uid="{00000000-0005-0000-0000-0000740E0000}"/>
    <cellStyle name="Normal 14 3 3 2" xfId="13939" xr:uid="{EBF524B0-187D-48A9-B22E-D9C1F2BCE755}"/>
    <cellStyle name="Normal 14 3 4" xfId="9721" xr:uid="{D2506B97-07CD-4EAA-A93F-2EB6F495019F}"/>
    <cellStyle name="Normal 14 4" xfId="1605" xr:uid="{00000000-0005-0000-0000-0000750E0000}"/>
    <cellStyle name="Normal 14 4 2" xfId="3835" xr:uid="{00000000-0005-0000-0000-0000760E0000}"/>
    <cellStyle name="Normal 14 4 2 2" xfId="8058" xr:uid="{00000000-0005-0000-0000-0000770E0000}"/>
    <cellStyle name="Normal 14 4 2 2 2" xfId="16497" xr:uid="{ED985504-B91B-4EEB-B7E2-9C90B36B7265}"/>
    <cellStyle name="Normal 14 4 2 3" xfId="12279" xr:uid="{DC2396BC-DEE2-48C9-A3DE-F041EC77ED5D}"/>
    <cellStyle name="Normal 14 4 3" xfId="5913" xr:uid="{00000000-0005-0000-0000-0000780E0000}"/>
    <cellStyle name="Normal 14 4 3 2" xfId="14352" xr:uid="{B572354E-D043-4837-946C-9231151E1BDB}"/>
    <cellStyle name="Normal 14 4 4" xfId="10134" xr:uid="{A432A4C0-99DF-436B-9981-04F1D75826D6}"/>
    <cellStyle name="Normal 14 5" xfId="2019" xr:uid="{00000000-0005-0000-0000-0000790E0000}"/>
    <cellStyle name="Normal 14 5 2" xfId="4248" xr:uid="{00000000-0005-0000-0000-00007A0E0000}"/>
    <cellStyle name="Normal 14 5 2 2" xfId="8471" xr:uid="{00000000-0005-0000-0000-00007B0E0000}"/>
    <cellStyle name="Normal 14 5 2 2 2" xfId="16910" xr:uid="{CE62D95B-7844-4435-89B5-2B4E806664AE}"/>
    <cellStyle name="Normal 14 5 2 3" xfId="12692" xr:uid="{FB7C0C39-08FF-4113-B801-3A29D094C966}"/>
    <cellStyle name="Normal 14 5 3" xfId="6326" xr:uid="{00000000-0005-0000-0000-00007C0E0000}"/>
    <cellStyle name="Normal 14 5 3 2" xfId="14765" xr:uid="{1E50E247-7015-4CE7-A81B-055FB618ADF8}"/>
    <cellStyle name="Normal 14 5 4" xfId="10547" xr:uid="{0986E67C-737F-44E9-B9D0-C0F1B077ABE8}"/>
    <cellStyle name="Normal 14 6" xfId="2455" xr:uid="{00000000-0005-0000-0000-00007D0E0000}"/>
    <cellStyle name="Normal 14 6 2" xfId="6739" xr:uid="{00000000-0005-0000-0000-00007E0E0000}"/>
    <cellStyle name="Normal 14 6 2 2" xfId="15178" xr:uid="{68E4FB78-82F6-4B57-B11E-57D4ADD6EA63}"/>
    <cellStyle name="Normal 14 6 3" xfId="10960" xr:uid="{DB48A7A7-3771-4F79-A9FC-4A8C99E7E474}"/>
    <cellStyle name="Normal 14 7" xfId="4673" xr:uid="{00000000-0005-0000-0000-00007F0E0000}"/>
    <cellStyle name="Normal 14 7 2" xfId="13112" xr:uid="{58448D01-125E-495D-AFB8-D3EA67EDF93E}"/>
    <cellStyle name="Normal 14 8" xfId="8894" xr:uid="{76FC9C63-A8AC-4CC6-A7F1-06F0DC10BD84}"/>
    <cellStyle name="Normal 15" xfId="4496" xr:uid="{00000000-0005-0000-0000-0000800E0000}"/>
    <cellStyle name="Normal 15 2" xfId="12938" xr:uid="{EF1F5083-32C4-40DC-8B24-05313C7B72A4}"/>
    <cellStyle name="Normal 16" xfId="4500" xr:uid="{00000000-0005-0000-0000-0000810E0000}"/>
    <cellStyle name="Normal 16 2" xfId="8716" xr:uid="{00000000-0005-0000-0000-0000820E0000}"/>
    <cellStyle name="Normal 16 2 2" xfId="17155" xr:uid="{76882642-0338-4C20-A79A-34A4951542F7}"/>
    <cellStyle name="Normal 16 3" xfId="8719" xr:uid="{3DE1BEEB-61FA-4094-B10F-9E0444F68763}"/>
    <cellStyle name="Normal 16 3 2" xfId="8723" xr:uid="{FE0BC069-4698-40B2-814D-8E09719245E9}"/>
    <cellStyle name="Normal 16 3 2 2" xfId="17161" xr:uid="{D53514C0-D95A-4FC1-91BD-F65FFACCA34E}"/>
    <cellStyle name="Normal 16 3 3" xfId="17158" xr:uid="{6A9DE677-AA54-4095-B2A9-10974694DE2E}"/>
    <cellStyle name="Normal 16 4" xfId="12941" xr:uid="{8C73EF56-9AF8-42D3-B5FB-567C67B1F3FB}"/>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16911" xr:uid="{74E7D16E-FD92-475B-9196-52A4BF87DE0B}"/>
    <cellStyle name="Normal 2 4 2 10 2 3" xfId="12693" xr:uid="{44091984-82AF-4EC7-B378-5F5A3836A46D}"/>
    <cellStyle name="Normal 2 4 2 10 3" xfId="6327" xr:uid="{00000000-0005-0000-0000-0000910E0000}"/>
    <cellStyle name="Normal 2 4 2 10 3 2" xfId="14766" xr:uid="{D97A259E-3F0C-478F-9B42-8A75D7C439BA}"/>
    <cellStyle name="Normal 2 4 2 10 4" xfId="10548" xr:uid="{DB3913BD-DF94-4332-84BB-904C03AB8863}"/>
    <cellStyle name="Normal 2 4 2 11" xfId="2456" xr:uid="{00000000-0005-0000-0000-0000920E0000}"/>
    <cellStyle name="Normal 2 4 2 11 2" xfId="6740" xr:uid="{00000000-0005-0000-0000-0000930E0000}"/>
    <cellStyle name="Normal 2 4 2 11 2 2" xfId="15179" xr:uid="{82AD1069-BDA7-4EF7-8331-B42C54CB3D69}"/>
    <cellStyle name="Normal 2 4 2 11 3" xfId="10961" xr:uid="{5BCBB4A9-69F7-40D1-86C8-B2BCDD8AC338}"/>
    <cellStyle name="Normal 2 4 2 12" xfId="4674" xr:uid="{00000000-0005-0000-0000-0000940E0000}"/>
    <cellStyle name="Normal 2 4 2 12 2" xfId="13113" xr:uid="{8864B343-CE78-42BC-B84C-3AE8ADF826B6}"/>
    <cellStyle name="Normal 2 4 2 13" xfId="8895" xr:uid="{361A2D7F-28ED-43DC-A872-A84455FA3D67}"/>
    <cellStyle name="Normal 2 4 2 2" xfId="280" xr:uid="{00000000-0005-0000-0000-0000950E0000}"/>
    <cellStyle name="Normal 2 4 2 3" xfId="281" xr:uid="{00000000-0005-0000-0000-0000960E0000}"/>
    <cellStyle name="Normal 2 4 2 3 10" xfId="4675" xr:uid="{00000000-0005-0000-0000-0000970E0000}"/>
    <cellStyle name="Normal 2 4 2 3 10 2" xfId="13114" xr:uid="{E9D4EE6B-7E93-46BA-B3D1-0A34B4B14E88}"/>
    <cellStyle name="Normal 2 4 2 3 11" xfId="8896" xr:uid="{A1C3BA6D-BA84-4C08-8B96-C5BF4138239C}"/>
    <cellStyle name="Normal 2 4 2 3 2" xfId="282" xr:uid="{00000000-0005-0000-0000-0000980E0000}"/>
    <cellStyle name="Normal 2 4 2 3 2 10" xfId="8897" xr:uid="{B7923056-5707-4A8E-AB8D-1D6C2814E08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5676" xr:uid="{00F8D9DB-C254-4C8A-86F5-F07E74B91C45}"/>
    <cellStyle name="Normal 2 4 2 3 2 2 2 2 2 3" xfId="11458" xr:uid="{A610383E-77C0-4B09-ADB5-EA6137148886}"/>
    <cellStyle name="Normal 2 4 2 3 2 2 2 2 3" xfId="5092" xr:uid="{00000000-0005-0000-0000-00009E0E0000}"/>
    <cellStyle name="Normal 2 4 2 3 2 2 2 2 3 2" xfId="13531" xr:uid="{969812B2-C144-430D-BE8D-D67E01986A30}"/>
    <cellStyle name="Normal 2 4 2 3 2 2 2 2 4" xfId="9313" xr:uid="{B6C8C73A-ACD9-4C97-9443-CD9F91CBE211}"/>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16089" xr:uid="{AF38E598-378C-485A-92D6-889B7FB32AE7}"/>
    <cellStyle name="Normal 2 4 2 3 2 2 2 3 2 3" xfId="11871" xr:uid="{78D866B3-2A67-4CB4-9341-6E8627FB7976}"/>
    <cellStyle name="Normal 2 4 2 3 2 2 2 3 3" xfId="5505" xr:uid="{00000000-0005-0000-0000-0000A20E0000}"/>
    <cellStyle name="Normal 2 4 2 3 2 2 2 3 3 2" xfId="13944" xr:uid="{1253DB4C-22BA-40A9-9EC3-1F8F22CC9D3B}"/>
    <cellStyle name="Normal 2 4 2 3 2 2 2 3 4" xfId="9726" xr:uid="{F8E7F8A5-6C17-4CDD-ABAC-DA373838AE84}"/>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16502" xr:uid="{09B645B4-4611-4D1A-90DB-B90E6EE558D8}"/>
    <cellStyle name="Normal 2 4 2 3 2 2 2 4 2 3" xfId="12284" xr:uid="{126FDA38-2AC2-42F1-89F3-589AD5BC2587}"/>
    <cellStyle name="Normal 2 4 2 3 2 2 2 4 3" xfId="5918" xr:uid="{00000000-0005-0000-0000-0000A60E0000}"/>
    <cellStyle name="Normal 2 4 2 3 2 2 2 4 3 2" xfId="14357" xr:uid="{096C6214-8A2B-49F4-A7C4-0D9630F0BF68}"/>
    <cellStyle name="Normal 2 4 2 3 2 2 2 4 4" xfId="10139" xr:uid="{8D5C78FA-9177-46A7-AF41-050415943643}"/>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16915" xr:uid="{0F62F9C7-F54F-47D7-9AA1-CD3C7B47635A}"/>
    <cellStyle name="Normal 2 4 2 3 2 2 2 5 2 3" xfId="12697" xr:uid="{8C4DF653-DD03-4052-8E28-9768BA40FCB6}"/>
    <cellStyle name="Normal 2 4 2 3 2 2 2 5 3" xfId="6331" xr:uid="{00000000-0005-0000-0000-0000AA0E0000}"/>
    <cellStyle name="Normal 2 4 2 3 2 2 2 5 3 2" xfId="14770" xr:uid="{AECD540D-731F-4C58-A173-61759DEF40F6}"/>
    <cellStyle name="Normal 2 4 2 3 2 2 2 5 4" xfId="10552" xr:uid="{6ABB30F8-FAC7-4434-A557-9B51F01667F1}"/>
    <cellStyle name="Normal 2 4 2 3 2 2 2 6" xfId="2460" xr:uid="{00000000-0005-0000-0000-0000AB0E0000}"/>
    <cellStyle name="Normal 2 4 2 3 2 2 2 6 2" xfId="6744" xr:uid="{00000000-0005-0000-0000-0000AC0E0000}"/>
    <cellStyle name="Normal 2 4 2 3 2 2 2 6 2 2" xfId="15183" xr:uid="{9B1F6BFD-9CB7-4971-9849-E017F99883B0}"/>
    <cellStyle name="Normal 2 4 2 3 2 2 2 6 3" xfId="10965" xr:uid="{BED5B09B-69BC-4167-8E97-8165AD87C621}"/>
    <cellStyle name="Normal 2 4 2 3 2 2 2 7" xfId="4678" xr:uid="{00000000-0005-0000-0000-0000AD0E0000}"/>
    <cellStyle name="Normal 2 4 2 3 2 2 2 7 2" xfId="13117" xr:uid="{46C60824-B1DB-4B84-BED2-2F2C2FDE2964}"/>
    <cellStyle name="Normal 2 4 2 3 2 2 2 8" xfId="8899" xr:uid="{A5DAD9D6-4CD9-41E5-A915-102B0A1EBED1}"/>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5675" xr:uid="{D2661620-8C74-4FB0-A3D2-7DF3F58B4776}"/>
    <cellStyle name="Normal 2 4 2 3 2 2 3 2 3" xfId="11457" xr:uid="{D52497B5-CDDC-4402-AB3B-27EA857CB6C2}"/>
    <cellStyle name="Normal 2 4 2 3 2 2 3 3" xfId="5091" xr:uid="{00000000-0005-0000-0000-0000B10E0000}"/>
    <cellStyle name="Normal 2 4 2 3 2 2 3 3 2" xfId="13530" xr:uid="{B62167A3-8DB7-44EA-99FB-2A23DCCC50FB}"/>
    <cellStyle name="Normal 2 4 2 3 2 2 3 4" xfId="9312" xr:uid="{782FF3E8-F1E1-41CF-B292-383337B00582}"/>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16088" xr:uid="{E3BFD34F-A32D-40A0-B38E-763E0ACA5928}"/>
    <cellStyle name="Normal 2 4 2 3 2 2 4 2 3" xfId="11870" xr:uid="{9B24C356-52B0-4E30-8106-9AF8D973C750}"/>
    <cellStyle name="Normal 2 4 2 3 2 2 4 3" xfId="5504" xr:uid="{00000000-0005-0000-0000-0000B50E0000}"/>
    <cellStyle name="Normal 2 4 2 3 2 2 4 3 2" xfId="13943" xr:uid="{882C75BE-9CE9-41A3-95A8-6A0A62885F74}"/>
    <cellStyle name="Normal 2 4 2 3 2 2 4 4" xfId="9725" xr:uid="{85490367-6AF6-46B6-ACA8-137BB29E93D8}"/>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16501" xr:uid="{88A885BF-BF03-4046-BA86-3C94B2D32ED9}"/>
    <cellStyle name="Normal 2 4 2 3 2 2 5 2 3" xfId="12283" xr:uid="{340271E5-3A9A-463C-A63F-134CA80DDED8}"/>
    <cellStyle name="Normal 2 4 2 3 2 2 5 3" xfId="5917" xr:uid="{00000000-0005-0000-0000-0000B90E0000}"/>
    <cellStyle name="Normal 2 4 2 3 2 2 5 3 2" xfId="14356" xr:uid="{241A01D5-4182-4B22-800F-7B0304087608}"/>
    <cellStyle name="Normal 2 4 2 3 2 2 5 4" xfId="10138" xr:uid="{212D5E2A-AD36-4A85-84FD-76EB5ADA7B2E}"/>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16914" xr:uid="{8D1DBF1F-CA51-4027-929B-915FE7A38333}"/>
    <cellStyle name="Normal 2 4 2 3 2 2 6 2 3" xfId="12696" xr:uid="{7ADDB0DD-AEC1-4ECD-AE5F-416862E69C88}"/>
    <cellStyle name="Normal 2 4 2 3 2 2 6 3" xfId="6330" xr:uid="{00000000-0005-0000-0000-0000BD0E0000}"/>
    <cellStyle name="Normal 2 4 2 3 2 2 6 3 2" xfId="14769" xr:uid="{10A4F459-D50F-4F85-B21E-BBE23D1A8230}"/>
    <cellStyle name="Normal 2 4 2 3 2 2 6 4" xfId="10551" xr:uid="{E55F6570-9881-4CD9-814E-23D12F7A83D9}"/>
    <cellStyle name="Normal 2 4 2 3 2 2 7" xfId="2459" xr:uid="{00000000-0005-0000-0000-0000BE0E0000}"/>
    <cellStyle name="Normal 2 4 2 3 2 2 7 2" xfId="6743" xr:uid="{00000000-0005-0000-0000-0000BF0E0000}"/>
    <cellStyle name="Normal 2 4 2 3 2 2 7 2 2" xfId="15182" xr:uid="{98C531DF-FC04-49D6-A13C-17128D31C38D}"/>
    <cellStyle name="Normal 2 4 2 3 2 2 7 3" xfId="10964" xr:uid="{2145472A-D920-4F4E-9D4E-6619A9684319}"/>
    <cellStyle name="Normal 2 4 2 3 2 2 8" xfId="4677" xr:uid="{00000000-0005-0000-0000-0000C00E0000}"/>
    <cellStyle name="Normal 2 4 2 3 2 2 8 2" xfId="13116" xr:uid="{81675E01-4048-4B4E-9B3B-134F35338803}"/>
    <cellStyle name="Normal 2 4 2 3 2 2 9" xfId="8898" xr:uid="{D223594F-1621-444A-AF89-52E47F4E82B5}"/>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5677" xr:uid="{494BDF40-EDD8-4CCA-99F2-7F6A057000CF}"/>
    <cellStyle name="Normal 2 4 2 3 2 3 2 2 3" xfId="11459" xr:uid="{3BDE30B3-B2BA-474A-B1F8-75E1C7AABF7C}"/>
    <cellStyle name="Normal 2 4 2 3 2 3 2 3" xfId="5093" xr:uid="{00000000-0005-0000-0000-0000C50E0000}"/>
    <cellStyle name="Normal 2 4 2 3 2 3 2 3 2" xfId="13532" xr:uid="{830EF259-5328-4826-81CB-EE9F993DE41E}"/>
    <cellStyle name="Normal 2 4 2 3 2 3 2 4" xfId="9314" xr:uid="{48A5C3CF-DDB4-4893-AD2F-668578802C64}"/>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16090" xr:uid="{69969DBD-870D-4E92-B8C5-AC6163260447}"/>
    <cellStyle name="Normal 2 4 2 3 2 3 3 2 3" xfId="11872" xr:uid="{3F9A28A4-2764-48EE-84A2-2A6746035598}"/>
    <cellStyle name="Normal 2 4 2 3 2 3 3 3" xfId="5506" xr:uid="{00000000-0005-0000-0000-0000C90E0000}"/>
    <cellStyle name="Normal 2 4 2 3 2 3 3 3 2" xfId="13945" xr:uid="{5488E01C-28CD-4895-8725-B13F7E3DFE3B}"/>
    <cellStyle name="Normal 2 4 2 3 2 3 3 4" xfId="9727" xr:uid="{C4B44448-C5A2-48CA-AD5E-B8C6CE57FB3A}"/>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16503" xr:uid="{735285D2-EFBA-42F0-8506-0174DD265875}"/>
    <cellStyle name="Normal 2 4 2 3 2 3 4 2 3" xfId="12285" xr:uid="{2E0DAEE6-43BD-4A2C-9AE5-6C4A676B6421}"/>
    <cellStyle name="Normal 2 4 2 3 2 3 4 3" xfId="5919" xr:uid="{00000000-0005-0000-0000-0000CD0E0000}"/>
    <cellStyle name="Normal 2 4 2 3 2 3 4 3 2" xfId="14358" xr:uid="{26C7F2AB-B3EF-4D99-92F1-A315FA4E4F00}"/>
    <cellStyle name="Normal 2 4 2 3 2 3 4 4" xfId="10140" xr:uid="{0A9E0313-425F-4D28-9D9A-7C9243761333}"/>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16916" xr:uid="{B39F52C6-7B9A-4C13-B712-9EA7C933B11B}"/>
    <cellStyle name="Normal 2 4 2 3 2 3 5 2 3" xfId="12698" xr:uid="{89F83DE2-16F1-4EE2-8CB0-9DED4AECDB8F}"/>
    <cellStyle name="Normal 2 4 2 3 2 3 5 3" xfId="6332" xr:uid="{00000000-0005-0000-0000-0000D10E0000}"/>
    <cellStyle name="Normal 2 4 2 3 2 3 5 3 2" xfId="14771" xr:uid="{9AAFE735-469C-48F9-B80E-65DB564EB5BD}"/>
    <cellStyle name="Normal 2 4 2 3 2 3 5 4" xfId="10553" xr:uid="{98A0462B-377D-4E16-979E-ED5CF184C26F}"/>
    <cellStyle name="Normal 2 4 2 3 2 3 6" xfId="2461" xr:uid="{00000000-0005-0000-0000-0000D20E0000}"/>
    <cellStyle name="Normal 2 4 2 3 2 3 6 2" xfId="6745" xr:uid="{00000000-0005-0000-0000-0000D30E0000}"/>
    <cellStyle name="Normal 2 4 2 3 2 3 6 2 2" xfId="15184" xr:uid="{327608DC-1430-4947-9C3F-2FF80A6877EF}"/>
    <cellStyle name="Normal 2 4 2 3 2 3 6 3" xfId="10966" xr:uid="{72293F6C-9870-43FC-AB0F-96EE6D55BB1D}"/>
    <cellStyle name="Normal 2 4 2 3 2 3 7" xfId="4679" xr:uid="{00000000-0005-0000-0000-0000D40E0000}"/>
    <cellStyle name="Normal 2 4 2 3 2 3 7 2" xfId="13118" xr:uid="{D6862E70-E693-463C-94FF-566B3B9707FA}"/>
    <cellStyle name="Normal 2 4 2 3 2 3 8" xfId="8900" xr:uid="{CDAC2C23-0940-49C7-9EBC-27CB301B3E86}"/>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5674" xr:uid="{426F15AA-54E5-429C-85FB-967347DFBC25}"/>
    <cellStyle name="Normal 2 4 2 3 2 4 2 3" xfId="11456" xr:uid="{3158BFB0-96A4-4BD6-9138-1E3E8ACE5C5A}"/>
    <cellStyle name="Normal 2 4 2 3 2 4 3" xfId="5090" xr:uid="{00000000-0005-0000-0000-0000D80E0000}"/>
    <cellStyle name="Normal 2 4 2 3 2 4 3 2" xfId="13529" xr:uid="{57AE9FF7-763E-4581-B92D-263CE7EAC439}"/>
    <cellStyle name="Normal 2 4 2 3 2 4 4" xfId="9311" xr:uid="{46B6F9CA-FD7D-489E-9505-369119303866}"/>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16087" xr:uid="{EC8D48F9-DC1E-44CF-AF2B-13C2FEA252F9}"/>
    <cellStyle name="Normal 2 4 2 3 2 5 2 3" xfId="11869" xr:uid="{1FC8CC03-69CF-4A89-9A0E-D49A1A7CCAF2}"/>
    <cellStyle name="Normal 2 4 2 3 2 5 3" xfId="5503" xr:uid="{00000000-0005-0000-0000-0000DC0E0000}"/>
    <cellStyle name="Normal 2 4 2 3 2 5 3 2" xfId="13942" xr:uid="{51A01979-E1B8-46DF-A123-E5A59D900F14}"/>
    <cellStyle name="Normal 2 4 2 3 2 5 4" xfId="9724" xr:uid="{A262482C-6E25-4226-BBE1-B21EF20740B6}"/>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16500" xr:uid="{469944FD-CA35-409D-AA53-34DB2E959044}"/>
    <cellStyle name="Normal 2 4 2 3 2 6 2 3" xfId="12282" xr:uid="{B8B06607-0617-40C4-98C4-EA5EC1997EED}"/>
    <cellStyle name="Normal 2 4 2 3 2 6 3" xfId="5916" xr:uid="{00000000-0005-0000-0000-0000E00E0000}"/>
    <cellStyle name="Normal 2 4 2 3 2 6 3 2" xfId="14355" xr:uid="{28102B16-ED2E-42E5-A237-1644C65C407D}"/>
    <cellStyle name="Normal 2 4 2 3 2 6 4" xfId="10137" xr:uid="{F5834F0E-F384-4DEF-80E4-7FFB67A1FE74}"/>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16913" xr:uid="{33D404DA-24BC-4F1E-82A2-D065AD8B6646}"/>
    <cellStyle name="Normal 2 4 2 3 2 7 2 3" xfId="12695" xr:uid="{14718562-7FF0-4DBD-9FFB-B7806972521C}"/>
    <cellStyle name="Normal 2 4 2 3 2 7 3" xfId="6329" xr:uid="{00000000-0005-0000-0000-0000E40E0000}"/>
    <cellStyle name="Normal 2 4 2 3 2 7 3 2" xfId="14768" xr:uid="{C3A2C75F-BBE7-4138-99A4-671F5D4520C5}"/>
    <cellStyle name="Normal 2 4 2 3 2 7 4" xfId="10550" xr:uid="{7B7A7978-2DC5-4686-A3A2-8267AF4D8E38}"/>
    <cellStyle name="Normal 2 4 2 3 2 8" xfId="2458" xr:uid="{00000000-0005-0000-0000-0000E50E0000}"/>
    <cellStyle name="Normal 2 4 2 3 2 8 2" xfId="6742" xr:uid="{00000000-0005-0000-0000-0000E60E0000}"/>
    <cellStyle name="Normal 2 4 2 3 2 8 2 2" xfId="15181" xr:uid="{BC53EF8C-6DFF-4792-A24C-1B199198C39B}"/>
    <cellStyle name="Normal 2 4 2 3 2 8 3" xfId="10963" xr:uid="{A5F3DC83-3785-40D5-AB91-8E09978F6669}"/>
    <cellStyle name="Normal 2 4 2 3 2 9" xfId="4676" xr:uid="{00000000-0005-0000-0000-0000E70E0000}"/>
    <cellStyle name="Normal 2 4 2 3 2 9 2" xfId="13115" xr:uid="{96C0A592-6300-4467-A34E-F18B55507EC7}"/>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5679" xr:uid="{09D73234-0573-410B-A379-860EBC8FFD82}"/>
    <cellStyle name="Normal 2 4 2 3 3 2 2 2 3" xfId="11461" xr:uid="{29F21882-C926-4E7D-A511-E339ECD71A50}"/>
    <cellStyle name="Normal 2 4 2 3 3 2 2 3" xfId="5095" xr:uid="{00000000-0005-0000-0000-0000ED0E0000}"/>
    <cellStyle name="Normal 2 4 2 3 3 2 2 3 2" xfId="13534" xr:uid="{2DE4A5AF-F582-4523-95B2-EF10E0BD7B37}"/>
    <cellStyle name="Normal 2 4 2 3 3 2 2 4" xfId="9316" xr:uid="{A241F713-4989-4630-A5D9-A0B3474897FA}"/>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16092" xr:uid="{682A7A25-78B4-4C69-9BDB-D37C61F698F0}"/>
    <cellStyle name="Normal 2 4 2 3 3 2 3 2 3" xfId="11874" xr:uid="{30ACB1A0-0EE0-42D0-A6B3-619CB1DDE799}"/>
    <cellStyle name="Normal 2 4 2 3 3 2 3 3" xfId="5508" xr:uid="{00000000-0005-0000-0000-0000F10E0000}"/>
    <cellStyle name="Normal 2 4 2 3 3 2 3 3 2" xfId="13947" xr:uid="{10A5BA22-565E-485F-86EA-792ED42FF285}"/>
    <cellStyle name="Normal 2 4 2 3 3 2 3 4" xfId="9729" xr:uid="{9684F275-C4DA-4287-8E59-915FE67B7A1B}"/>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16505" xr:uid="{A1EB1EB0-D712-4BB6-824D-126FEEB63E50}"/>
    <cellStyle name="Normal 2 4 2 3 3 2 4 2 3" xfId="12287" xr:uid="{5CC52E41-A3E6-46D7-86E7-81270689441A}"/>
    <cellStyle name="Normal 2 4 2 3 3 2 4 3" xfId="5921" xr:uid="{00000000-0005-0000-0000-0000F50E0000}"/>
    <cellStyle name="Normal 2 4 2 3 3 2 4 3 2" xfId="14360" xr:uid="{ABD6FC1D-F2D7-4E00-A589-68AFBBF59D08}"/>
    <cellStyle name="Normal 2 4 2 3 3 2 4 4" xfId="10142" xr:uid="{B26C8023-6007-4699-B63C-4AE156EECCE3}"/>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16918" xr:uid="{B6CBC269-E825-4362-ACEB-EDFF72F9198F}"/>
    <cellStyle name="Normal 2 4 2 3 3 2 5 2 3" xfId="12700" xr:uid="{16B742FD-0E58-4B96-9C09-7713D16BAB4D}"/>
    <cellStyle name="Normal 2 4 2 3 3 2 5 3" xfId="6334" xr:uid="{00000000-0005-0000-0000-0000F90E0000}"/>
    <cellStyle name="Normal 2 4 2 3 3 2 5 3 2" xfId="14773" xr:uid="{0F90A4DC-B59B-4C98-9B27-560A6E192134}"/>
    <cellStyle name="Normal 2 4 2 3 3 2 5 4" xfId="10555" xr:uid="{7E7EA8E9-CDE6-48ED-A95E-54908ED88F3A}"/>
    <cellStyle name="Normal 2 4 2 3 3 2 6" xfId="2463" xr:uid="{00000000-0005-0000-0000-0000FA0E0000}"/>
    <cellStyle name="Normal 2 4 2 3 3 2 6 2" xfId="6747" xr:uid="{00000000-0005-0000-0000-0000FB0E0000}"/>
    <cellStyle name="Normal 2 4 2 3 3 2 6 2 2" xfId="15186" xr:uid="{3BD3E3A1-8B75-4E54-AB92-7BDB4FC4104C}"/>
    <cellStyle name="Normal 2 4 2 3 3 2 6 3" xfId="10968" xr:uid="{ABFAA7D8-F56B-4ED8-9F37-4C01F4636F76}"/>
    <cellStyle name="Normal 2 4 2 3 3 2 7" xfId="4681" xr:uid="{00000000-0005-0000-0000-0000FC0E0000}"/>
    <cellStyle name="Normal 2 4 2 3 3 2 7 2" xfId="13120" xr:uid="{74BE3DA7-3EE9-4CB9-A6E0-D7A46E7E61DA}"/>
    <cellStyle name="Normal 2 4 2 3 3 2 8" xfId="8902" xr:uid="{AEB0844F-5FD9-436F-9513-A1D408CE3329}"/>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5678" xr:uid="{DE364D7F-BA33-472D-A3D2-F43808663332}"/>
    <cellStyle name="Normal 2 4 2 3 3 3 2 3" xfId="11460" xr:uid="{BFA11E91-AA1C-40BE-B8A2-7022BE73273D}"/>
    <cellStyle name="Normal 2 4 2 3 3 3 3" xfId="5094" xr:uid="{00000000-0005-0000-0000-0000000F0000}"/>
    <cellStyle name="Normal 2 4 2 3 3 3 3 2" xfId="13533" xr:uid="{7421D610-7AE8-4C05-B83A-034ED8F3F97C}"/>
    <cellStyle name="Normal 2 4 2 3 3 3 4" xfId="9315" xr:uid="{18177857-E50B-42FA-92ED-3A9410C9B43D}"/>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16091" xr:uid="{21BF9568-1C26-4A85-8D9F-E91F8FD74B30}"/>
    <cellStyle name="Normal 2 4 2 3 3 4 2 3" xfId="11873" xr:uid="{70AE67F4-2085-435E-8655-816F478165E5}"/>
    <cellStyle name="Normal 2 4 2 3 3 4 3" xfId="5507" xr:uid="{00000000-0005-0000-0000-0000040F0000}"/>
    <cellStyle name="Normal 2 4 2 3 3 4 3 2" xfId="13946" xr:uid="{5858BEDE-3E9C-44F4-B362-971900B9B105}"/>
    <cellStyle name="Normal 2 4 2 3 3 4 4" xfId="9728" xr:uid="{85B5B03D-8F69-4E6C-A1D4-47B31BBA2CAD}"/>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16504" xr:uid="{7EC2DF49-AE7A-4CC0-946C-5D23354F5CEF}"/>
    <cellStyle name="Normal 2 4 2 3 3 5 2 3" xfId="12286" xr:uid="{A8594201-5D91-4670-9B3C-C0CC619E76DA}"/>
    <cellStyle name="Normal 2 4 2 3 3 5 3" xfId="5920" xr:uid="{00000000-0005-0000-0000-0000080F0000}"/>
    <cellStyle name="Normal 2 4 2 3 3 5 3 2" xfId="14359" xr:uid="{C0D30FA9-32A9-4828-92CF-D131A0459186}"/>
    <cellStyle name="Normal 2 4 2 3 3 5 4" xfId="10141" xr:uid="{201899B8-8C68-46AA-BEFD-6B3200CE12DF}"/>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16917" xr:uid="{CA782A62-E702-41C2-8D36-5941CBC18D38}"/>
    <cellStyle name="Normal 2 4 2 3 3 6 2 3" xfId="12699" xr:uid="{AE25F904-FAF4-4686-B332-2FCFA794813C}"/>
    <cellStyle name="Normal 2 4 2 3 3 6 3" xfId="6333" xr:uid="{00000000-0005-0000-0000-00000C0F0000}"/>
    <cellStyle name="Normal 2 4 2 3 3 6 3 2" xfId="14772" xr:uid="{70838F8B-F030-4FFC-BE6F-6DE148BBE07A}"/>
    <cellStyle name="Normal 2 4 2 3 3 6 4" xfId="10554" xr:uid="{CC487DE2-CA17-4991-B3BC-CB032A715886}"/>
    <cellStyle name="Normal 2 4 2 3 3 7" xfId="2462" xr:uid="{00000000-0005-0000-0000-00000D0F0000}"/>
    <cellStyle name="Normal 2 4 2 3 3 7 2" xfId="6746" xr:uid="{00000000-0005-0000-0000-00000E0F0000}"/>
    <cellStyle name="Normal 2 4 2 3 3 7 2 2" xfId="15185" xr:uid="{1ABFE33B-8E1A-4307-9604-20A633EEBF6F}"/>
    <cellStyle name="Normal 2 4 2 3 3 7 3" xfId="10967" xr:uid="{0ADB1D49-8062-448B-9D1A-09797AD5CF00}"/>
    <cellStyle name="Normal 2 4 2 3 3 8" xfId="4680" xr:uid="{00000000-0005-0000-0000-00000F0F0000}"/>
    <cellStyle name="Normal 2 4 2 3 3 8 2" xfId="13119" xr:uid="{5AB32B52-012C-41DD-AFA3-97C0F6D8CD7D}"/>
    <cellStyle name="Normal 2 4 2 3 3 9" xfId="8901" xr:uid="{D372AE28-7781-47D0-9E8E-1B1AA3588CAF}"/>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5680" xr:uid="{84289899-7A46-4E0C-8C7D-FB219031B038}"/>
    <cellStyle name="Normal 2 4 2 3 4 2 2 3" xfId="11462" xr:uid="{22C0605F-F14A-4C8B-A092-FE09E4F0240D}"/>
    <cellStyle name="Normal 2 4 2 3 4 2 3" xfId="5096" xr:uid="{00000000-0005-0000-0000-0000140F0000}"/>
    <cellStyle name="Normal 2 4 2 3 4 2 3 2" xfId="13535" xr:uid="{8A88880A-4002-48A1-B2D0-F044A4BF4C73}"/>
    <cellStyle name="Normal 2 4 2 3 4 2 4" xfId="9317" xr:uid="{97486268-56D0-4660-8FA9-3AEF95B5A5D4}"/>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16093" xr:uid="{52F535A7-5645-421F-8D41-70C55823386B}"/>
    <cellStyle name="Normal 2 4 2 3 4 3 2 3" xfId="11875" xr:uid="{02ECD826-09E6-4CE1-9024-789D7E494789}"/>
    <cellStyle name="Normal 2 4 2 3 4 3 3" xfId="5509" xr:uid="{00000000-0005-0000-0000-0000180F0000}"/>
    <cellStyle name="Normal 2 4 2 3 4 3 3 2" xfId="13948" xr:uid="{6EAE5471-7774-497B-A59D-29D41D28F547}"/>
    <cellStyle name="Normal 2 4 2 3 4 3 4" xfId="9730" xr:uid="{A53C2B4C-C2C9-4027-A8DF-6482A13164BE}"/>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16506" xr:uid="{136F3163-9263-49B3-99EF-305269D6DD02}"/>
    <cellStyle name="Normal 2 4 2 3 4 4 2 3" xfId="12288" xr:uid="{F4F52A4B-43F9-4D73-A45D-267A6147F334}"/>
    <cellStyle name="Normal 2 4 2 3 4 4 3" xfId="5922" xr:uid="{00000000-0005-0000-0000-00001C0F0000}"/>
    <cellStyle name="Normal 2 4 2 3 4 4 3 2" xfId="14361" xr:uid="{EDCA872D-60B7-4023-B44C-1BA64F77DE63}"/>
    <cellStyle name="Normal 2 4 2 3 4 4 4" xfId="10143" xr:uid="{17CFBD5F-2A4B-412C-8EAF-FA5DD6613D3E}"/>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16919" xr:uid="{D352C399-42E7-4426-BC11-F1E16C220D66}"/>
    <cellStyle name="Normal 2 4 2 3 4 5 2 3" xfId="12701" xr:uid="{EFF14BAD-2F8F-4DB6-BD40-E2177FD1DD99}"/>
    <cellStyle name="Normal 2 4 2 3 4 5 3" xfId="6335" xr:uid="{00000000-0005-0000-0000-0000200F0000}"/>
    <cellStyle name="Normal 2 4 2 3 4 5 3 2" xfId="14774" xr:uid="{575603BD-A5F5-43BD-95C2-35D9A0215676}"/>
    <cellStyle name="Normal 2 4 2 3 4 5 4" xfId="10556" xr:uid="{E864DDB8-12A0-4A68-B9DF-85E6D6FDE9C7}"/>
    <cellStyle name="Normal 2 4 2 3 4 6" xfId="2464" xr:uid="{00000000-0005-0000-0000-0000210F0000}"/>
    <cellStyle name="Normal 2 4 2 3 4 6 2" xfId="6748" xr:uid="{00000000-0005-0000-0000-0000220F0000}"/>
    <cellStyle name="Normal 2 4 2 3 4 6 2 2" xfId="15187" xr:uid="{F5B4DAFA-CA2C-4B01-B0DA-6FF360CD59FE}"/>
    <cellStyle name="Normal 2 4 2 3 4 6 3" xfId="10969" xr:uid="{90938902-8BCB-41BE-A83C-27BEE054EFC6}"/>
    <cellStyle name="Normal 2 4 2 3 4 7" xfId="4682" xr:uid="{00000000-0005-0000-0000-0000230F0000}"/>
    <cellStyle name="Normal 2 4 2 3 4 7 2" xfId="13121" xr:uid="{496B806F-372A-4D6E-93F2-921DBE0A7344}"/>
    <cellStyle name="Normal 2 4 2 3 4 8" xfId="8903" xr:uid="{B449CB26-DF69-47ED-B3B3-C75A8CDD162E}"/>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5673" xr:uid="{01B74E74-AD9B-404D-8A19-0680F2270A92}"/>
    <cellStyle name="Normal 2 4 2 3 5 2 3" xfId="11455" xr:uid="{73CA7D59-F592-4BF9-8A43-47400D4DF4FB}"/>
    <cellStyle name="Normal 2 4 2 3 5 3" xfId="5089" xr:uid="{00000000-0005-0000-0000-0000270F0000}"/>
    <cellStyle name="Normal 2 4 2 3 5 3 2" xfId="13528" xr:uid="{31E7FFA0-AE8C-4E93-8C85-AB24522AC3A6}"/>
    <cellStyle name="Normal 2 4 2 3 5 4" xfId="9310" xr:uid="{6A4203C7-7444-402D-BBA2-38F628D171E9}"/>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16086" xr:uid="{49E27229-5F8B-4ED3-A46C-844D9C08312E}"/>
    <cellStyle name="Normal 2 4 2 3 6 2 3" xfId="11868" xr:uid="{5FB02B85-B02E-49CF-8F39-7DAC4A7960EB}"/>
    <cellStyle name="Normal 2 4 2 3 6 3" xfId="5502" xr:uid="{00000000-0005-0000-0000-00002B0F0000}"/>
    <cellStyle name="Normal 2 4 2 3 6 3 2" xfId="13941" xr:uid="{BADF20A6-060C-444B-BBEE-EAF544D760B4}"/>
    <cellStyle name="Normal 2 4 2 3 6 4" xfId="9723" xr:uid="{705FAEE2-546D-4784-9325-2854ECBF0EDE}"/>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16499" xr:uid="{35F436E2-8C3A-4DD2-B880-0D04A34D9B83}"/>
    <cellStyle name="Normal 2 4 2 3 7 2 3" xfId="12281" xr:uid="{3239F859-12F1-4E4A-A0FC-BE24797EE69F}"/>
    <cellStyle name="Normal 2 4 2 3 7 3" xfId="5915" xr:uid="{00000000-0005-0000-0000-00002F0F0000}"/>
    <cellStyle name="Normal 2 4 2 3 7 3 2" xfId="14354" xr:uid="{3DE66992-24CA-4A9C-A445-EE5EC677E7BE}"/>
    <cellStyle name="Normal 2 4 2 3 7 4" xfId="10136" xr:uid="{C117590B-761E-457A-A02D-78E4F24D6CE2}"/>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16912" xr:uid="{A8D4F4E0-E359-417D-81BF-1F06C32FA772}"/>
    <cellStyle name="Normal 2 4 2 3 8 2 3" xfId="12694" xr:uid="{536342CD-533F-4FB3-95A1-8AAC281D9B20}"/>
    <cellStyle name="Normal 2 4 2 3 8 3" xfId="6328" xr:uid="{00000000-0005-0000-0000-0000330F0000}"/>
    <cellStyle name="Normal 2 4 2 3 8 3 2" xfId="14767" xr:uid="{19B9367E-248A-4904-8F1E-4F260A383221}"/>
    <cellStyle name="Normal 2 4 2 3 8 4" xfId="10549" xr:uid="{E3010E69-F5A5-48DD-98ED-0B4E72B335CE}"/>
    <cellStyle name="Normal 2 4 2 3 9" xfId="2457" xr:uid="{00000000-0005-0000-0000-0000340F0000}"/>
    <cellStyle name="Normal 2 4 2 3 9 2" xfId="6741" xr:uid="{00000000-0005-0000-0000-0000350F0000}"/>
    <cellStyle name="Normal 2 4 2 3 9 2 2" xfId="15180" xr:uid="{4894DF4F-26C7-4770-85FF-39F780A8D841}"/>
    <cellStyle name="Normal 2 4 2 3 9 3" xfId="10962" xr:uid="{CDCB1DE6-85F2-496D-AE1E-99B4597F97A1}"/>
    <cellStyle name="Normal 2 4 2 4" xfId="289" xr:uid="{00000000-0005-0000-0000-0000360F0000}"/>
    <cellStyle name="Normal 2 4 2 4 10" xfId="8904" xr:uid="{A199B195-7692-4DFD-BA4F-C50C3D5E7043}"/>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5683" xr:uid="{631B9FD1-606B-4938-9CE5-5FE738892035}"/>
    <cellStyle name="Normal 2 4 2 4 2 2 2 2 3" xfId="11465" xr:uid="{57F7B5A6-6BD8-4892-8790-3E4F7B5676B0}"/>
    <cellStyle name="Normal 2 4 2 4 2 2 2 3" xfId="5099" xr:uid="{00000000-0005-0000-0000-00003C0F0000}"/>
    <cellStyle name="Normal 2 4 2 4 2 2 2 3 2" xfId="13538" xr:uid="{DFD586F7-E52F-4C63-BC68-94575DE32FEE}"/>
    <cellStyle name="Normal 2 4 2 4 2 2 2 4" xfId="9320" xr:uid="{E9D534F5-0293-43E0-AF4B-8012263C73EF}"/>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16096" xr:uid="{AD163382-70DC-4394-BE55-7755D9C5FEE1}"/>
    <cellStyle name="Normal 2 4 2 4 2 2 3 2 3" xfId="11878" xr:uid="{88016410-8F1E-45FB-AB75-CB0B5BD3E8B8}"/>
    <cellStyle name="Normal 2 4 2 4 2 2 3 3" xfId="5512" xr:uid="{00000000-0005-0000-0000-0000400F0000}"/>
    <cellStyle name="Normal 2 4 2 4 2 2 3 3 2" xfId="13951" xr:uid="{BA51EB61-2F08-4973-B3AF-A145268E38F9}"/>
    <cellStyle name="Normal 2 4 2 4 2 2 3 4" xfId="9733" xr:uid="{258D6F43-70F1-48A0-B1E0-E527C8A812F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16509" xr:uid="{AA884671-6020-4102-B64E-AB20AFD70AA4}"/>
    <cellStyle name="Normal 2 4 2 4 2 2 4 2 3" xfId="12291" xr:uid="{5A9C0D2C-BBD4-47A5-94E6-77351C833B57}"/>
    <cellStyle name="Normal 2 4 2 4 2 2 4 3" xfId="5925" xr:uid="{00000000-0005-0000-0000-0000440F0000}"/>
    <cellStyle name="Normal 2 4 2 4 2 2 4 3 2" xfId="14364" xr:uid="{D9B08270-37D8-4428-BD21-CD77C06FCF92}"/>
    <cellStyle name="Normal 2 4 2 4 2 2 4 4" xfId="10146" xr:uid="{1A1DE62A-7A9D-4555-B310-2E1315FFADE9}"/>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16922" xr:uid="{BF5F201F-BC69-4A1D-B4B3-F8DE2F68B222}"/>
    <cellStyle name="Normal 2 4 2 4 2 2 5 2 3" xfId="12704" xr:uid="{892C0105-D4CE-4DBE-890E-F342130A80EA}"/>
    <cellStyle name="Normal 2 4 2 4 2 2 5 3" xfId="6338" xr:uid="{00000000-0005-0000-0000-0000480F0000}"/>
    <cellStyle name="Normal 2 4 2 4 2 2 5 3 2" xfId="14777" xr:uid="{7756E1E2-A251-4A50-BDDA-924E739CE2D1}"/>
    <cellStyle name="Normal 2 4 2 4 2 2 5 4" xfId="10559" xr:uid="{7B7A679E-F1B3-4A7C-8EAF-EA0F6241B661}"/>
    <cellStyle name="Normal 2 4 2 4 2 2 6" xfId="2467" xr:uid="{00000000-0005-0000-0000-0000490F0000}"/>
    <cellStyle name="Normal 2 4 2 4 2 2 6 2" xfId="6751" xr:uid="{00000000-0005-0000-0000-00004A0F0000}"/>
    <cellStyle name="Normal 2 4 2 4 2 2 6 2 2" xfId="15190" xr:uid="{C1EED40D-34D0-414E-9C6D-DE53B2D6BE5C}"/>
    <cellStyle name="Normal 2 4 2 4 2 2 6 3" xfId="10972" xr:uid="{996D25E3-4769-4A81-8785-21214B5943DC}"/>
    <cellStyle name="Normal 2 4 2 4 2 2 7" xfId="4685" xr:uid="{00000000-0005-0000-0000-00004B0F0000}"/>
    <cellStyle name="Normal 2 4 2 4 2 2 7 2" xfId="13124" xr:uid="{E6CF5793-6DB3-4D2E-874A-87611D9DD45C}"/>
    <cellStyle name="Normal 2 4 2 4 2 2 8" xfId="8906" xr:uid="{8BA9DEB9-5628-463E-906A-BF83E9C89E29}"/>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5682" xr:uid="{1A7B7938-8846-4317-9796-62F213825D53}"/>
    <cellStyle name="Normal 2 4 2 4 2 3 2 3" xfId="11464" xr:uid="{9D08E4F5-ECB2-4F1C-B990-9CD442ACA486}"/>
    <cellStyle name="Normal 2 4 2 4 2 3 3" xfId="5098" xr:uid="{00000000-0005-0000-0000-00004F0F0000}"/>
    <cellStyle name="Normal 2 4 2 4 2 3 3 2" xfId="13537" xr:uid="{B4508E83-928E-479F-AEB1-8869ECAD7BA5}"/>
    <cellStyle name="Normal 2 4 2 4 2 3 4" xfId="9319" xr:uid="{94AA1B7E-AA31-4B6C-A5BA-304EB0504C8C}"/>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16095" xr:uid="{6E285A4A-45AD-4BF4-841C-13682E3B3BD1}"/>
    <cellStyle name="Normal 2 4 2 4 2 4 2 3" xfId="11877" xr:uid="{EF89BE6E-F2B9-46DF-A8AE-AAB6D6B29AD4}"/>
    <cellStyle name="Normal 2 4 2 4 2 4 3" xfId="5511" xr:uid="{00000000-0005-0000-0000-0000530F0000}"/>
    <cellStyle name="Normal 2 4 2 4 2 4 3 2" xfId="13950" xr:uid="{90636246-FD9B-4155-9CF2-E0777E9206C2}"/>
    <cellStyle name="Normal 2 4 2 4 2 4 4" xfId="9732" xr:uid="{81BC9B42-1D04-43E0-BFD8-412CCC3C27BD}"/>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16508" xr:uid="{95FBF59F-D05C-4EF5-84FC-F0370F3DB026}"/>
    <cellStyle name="Normal 2 4 2 4 2 5 2 3" xfId="12290" xr:uid="{C36D7FEA-409B-4800-B171-1724FDCB9C2E}"/>
    <cellStyle name="Normal 2 4 2 4 2 5 3" xfId="5924" xr:uid="{00000000-0005-0000-0000-0000570F0000}"/>
    <cellStyle name="Normal 2 4 2 4 2 5 3 2" xfId="14363" xr:uid="{05E4078D-5CD9-4864-874C-5A8CB58F4FD1}"/>
    <cellStyle name="Normal 2 4 2 4 2 5 4" xfId="10145" xr:uid="{3EBB851E-838B-4BA0-B9B3-AED01DACF4D2}"/>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16921" xr:uid="{08A206DB-DE42-4FE8-94AC-24F0C313EDB2}"/>
    <cellStyle name="Normal 2 4 2 4 2 6 2 3" xfId="12703" xr:uid="{B2681CAE-5E22-42A6-970E-14F9403E34DF}"/>
    <cellStyle name="Normal 2 4 2 4 2 6 3" xfId="6337" xr:uid="{00000000-0005-0000-0000-00005B0F0000}"/>
    <cellStyle name="Normal 2 4 2 4 2 6 3 2" xfId="14776" xr:uid="{2A350780-679D-49D4-8BBC-E85EDBAC26E4}"/>
    <cellStyle name="Normal 2 4 2 4 2 6 4" xfId="10558" xr:uid="{C542968E-3857-4848-9862-EBD9BEA7A20A}"/>
    <cellStyle name="Normal 2 4 2 4 2 7" xfId="2466" xr:uid="{00000000-0005-0000-0000-00005C0F0000}"/>
    <cellStyle name="Normal 2 4 2 4 2 7 2" xfId="6750" xr:uid="{00000000-0005-0000-0000-00005D0F0000}"/>
    <cellStyle name="Normal 2 4 2 4 2 7 2 2" xfId="15189" xr:uid="{C6D7A719-7C2D-4EF7-B6CA-15FBFC31F9DB}"/>
    <cellStyle name="Normal 2 4 2 4 2 7 3" xfId="10971" xr:uid="{EE35DF33-B70C-4037-9E41-4C24A8AAE2D7}"/>
    <cellStyle name="Normal 2 4 2 4 2 8" xfId="4684" xr:uid="{00000000-0005-0000-0000-00005E0F0000}"/>
    <cellStyle name="Normal 2 4 2 4 2 8 2" xfId="13123" xr:uid="{50AED17A-DB59-481B-A4D9-F15B82D5CB3C}"/>
    <cellStyle name="Normal 2 4 2 4 2 9" xfId="8905" xr:uid="{0A0C5194-509F-46A6-A057-9A64D5915E5B}"/>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5684" xr:uid="{ADC21FB7-930C-40E1-AB6A-4C11D0397DC2}"/>
    <cellStyle name="Normal 2 4 2 4 3 2 2 3" xfId="11466" xr:uid="{7803E31D-CD4A-4E1B-AC82-AAFF49AE9D22}"/>
    <cellStyle name="Normal 2 4 2 4 3 2 3" xfId="5100" xr:uid="{00000000-0005-0000-0000-0000630F0000}"/>
    <cellStyle name="Normal 2 4 2 4 3 2 3 2" xfId="13539" xr:uid="{AEB77E65-6F7D-4160-8061-0B5FA7711863}"/>
    <cellStyle name="Normal 2 4 2 4 3 2 4" xfId="9321" xr:uid="{2600706A-736F-40B0-801E-7283B0ED02D2}"/>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16097" xr:uid="{DB121F85-FF8B-40C4-9BB2-4260151111BB}"/>
    <cellStyle name="Normal 2 4 2 4 3 3 2 3" xfId="11879" xr:uid="{4AC8C50E-9F2F-4C74-A65A-D7B93E547DDB}"/>
    <cellStyle name="Normal 2 4 2 4 3 3 3" xfId="5513" xr:uid="{00000000-0005-0000-0000-0000670F0000}"/>
    <cellStyle name="Normal 2 4 2 4 3 3 3 2" xfId="13952" xr:uid="{2DE1FCA9-BBC4-4DA0-B6FD-5AA367EBC4E6}"/>
    <cellStyle name="Normal 2 4 2 4 3 3 4" xfId="9734" xr:uid="{FA4843E0-5C94-449F-B3EF-42D8A361108A}"/>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16510" xr:uid="{648C7511-1BD6-4556-A789-B6268D5A7E2E}"/>
    <cellStyle name="Normal 2 4 2 4 3 4 2 3" xfId="12292" xr:uid="{072F800E-D9F5-4A8B-91EE-5E3748313BA3}"/>
    <cellStyle name="Normal 2 4 2 4 3 4 3" xfId="5926" xr:uid="{00000000-0005-0000-0000-00006B0F0000}"/>
    <cellStyle name="Normal 2 4 2 4 3 4 3 2" xfId="14365" xr:uid="{B7B896E0-56D1-43D7-B26B-4DEF32766FCB}"/>
    <cellStyle name="Normal 2 4 2 4 3 4 4" xfId="10147" xr:uid="{C0A2EDE7-9CF7-43BF-9783-D594B7F1BE69}"/>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16923" xr:uid="{983FDD87-E5D3-4EAC-BDCE-54E6910B8CF2}"/>
    <cellStyle name="Normal 2 4 2 4 3 5 2 3" xfId="12705" xr:uid="{50C5F9FB-D1BC-461E-970E-E1DC4D06DA02}"/>
    <cellStyle name="Normal 2 4 2 4 3 5 3" xfId="6339" xr:uid="{00000000-0005-0000-0000-00006F0F0000}"/>
    <cellStyle name="Normal 2 4 2 4 3 5 3 2" xfId="14778" xr:uid="{338A8BC1-6DAF-41E3-8540-33BDD59F58EB}"/>
    <cellStyle name="Normal 2 4 2 4 3 5 4" xfId="10560" xr:uid="{AF155417-6303-43F7-9D96-A68E5418CF36}"/>
    <cellStyle name="Normal 2 4 2 4 3 6" xfId="2468" xr:uid="{00000000-0005-0000-0000-0000700F0000}"/>
    <cellStyle name="Normal 2 4 2 4 3 6 2" xfId="6752" xr:uid="{00000000-0005-0000-0000-0000710F0000}"/>
    <cellStyle name="Normal 2 4 2 4 3 6 2 2" xfId="15191" xr:uid="{2CF8DA20-0D98-4D24-B7FC-0EA4CBA8BCB5}"/>
    <cellStyle name="Normal 2 4 2 4 3 6 3" xfId="10973" xr:uid="{3A6065DB-B27B-42B5-991F-830FB489C5EC}"/>
    <cellStyle name="Normal 2 4 2 4 3 7" xfId="4686" xr:uid="{00000000-0005-0000-0000-0000720F0000}"/>
    <cellStyle name="Normal 2 4 2 4 3 7 2" xfId="13125" xr:uid="{D753F5B0-53A5-4A6E-BB39-C59B42277F50}"/>
    <cellStyle name="Normal 2 4 2 4 3 8" xfId="8907" xr:uid="{7139A377-7EE1-4655-A1CB-136F6863B06E}"/>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5681" xr:uid="{D845EC82-0303-459B-9FDF-E284B6B91041}"/>
    <cellStyle name="Normal 2 4 2 4 4 2 3" xfId="11463" xr:uid="{64264C01-2FE1-48CF-BC81-51C9A865D21D}"/>
    <cellStyle name="Normal 2 4 2 4 4 3" xfId="5097" xr:uid="{00000000-0005-0000-0000-0000760F0000}"/>
    <cellStyle name="Normal 2 4 2 4 4 3 2" xfId="13536" xr:uid="{55E32389-D857-47DA-B611-54D9DA748540}"/>
    <cellStyle name="Normal 2 4 2 4 4 4" xfId="9318" xr:uid="{55ACCEF4-C044-48E8-AEE5-517D1B439C4A}"/>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16094" xr:uid="{CB82A22E-2034-4E6B-ABBA-17603B0EAB9F}"/>
    <cellStyle name="Normal 2 4 2 4 5 2 3" xfId="11876" xr:uid="{D072A6EA-32A6-4061-9068-5DADADD128C1}"/>
    <cellStyle name="Normal 2 4 2 4 5 3" xfId="5510" xr:uid="{00000000-0005-0000-0000-00007A0F0000}"/>
    <cellStyle name="Normal 2 4 2 4 5 3 2" xfId="13949" xr:uid="{25310A39-BB4E-442B-88EA-72075251A104}"/>
    <cellStyle name="Normal 2 4 2 4 5 4" xfId="9731" xr:uid="{BC763808-88A1-4F7E-9220-212BCFCA871F}"/>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16507" xr:uid="{50F5B3A4-2A8E-4B19-A040-8188E16F9DDF}"/>
    <cellStyle name="Normal 2 4 2 4 6 2 3" xfId="12289" xr:uid="{6248A324-181F-4DD1-8FE6-309F1E46C789}"/>
    <cellStyle name="Normal 2 4 2 4 6 3" xfId="5923" xr:uid="{00000000-0005-0000-0000-00007E0F0000}"/>
    <cellStyle name="Normal 2 4 2 4 6 3 2" xfId="14362" xr:uid="{C18C68B2-E897-4A0E-88AA-208FA5E0C200}"/>
    <cellStyle name="Normal 2 4 2 4 6 4" xfId="10144" xr:uid="{073BB904-AAFE-4826-98C1-BD2C754C1501}"/>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16920" xr:uid="{BBA1C95A-5968-45B8-A5B8-F4C0770E603E}"/>
    <cellStyle name="Normal 2 4 2 4 7 2 3" xfId="12702" xr:uid="{0C0D0A10-81C2-435C-99E2-1795507D8ACB}"/>
    <cellStyle name="Normal 2 4 2 4 7 3" xfId="6336" xr:uid="{00000000-0005-0000-0000-0000820F0000}"/>
    <cellStyle name="Normal 2 4 2 4 7 3 2" xfId="14775" xr:uid="{7042A904-1618-4DA6-9F9B-42BAB94DF5D5}"/>
    <cellStyle name="Normal 2 4 2 4 7 4" xfId="10557" xr:uid="{B16BF2F2-4335-4ABF-87CE-495A1245F9E2}"/>
    <cellStyle name="Normal 2 4 2 4 8" xfId="2465" xr:uid="{00000000-0005-0000-0000-0000830F0000}"/>
    <cellStyle name="Normal 2 4 2 4 8 2" xfId="6749" xr:uid="{00000000-0005-0000-0000-0000840F0000}"/>
    <cellStyle name="Normal 2 4 2 4 8 2 2" xfId="15188" xr:uid="{CC71C58F-2993-4509-BB51-33F8F8A64D7B}"/>
    <cellStyle name="Normal 2 4 2 4 8 3" xfId="10970" xr:uid="{2F4BF379-26EF-42E3-BAAA-96EE7DBE32C2}"/>
    <cellStyle name="Normal 2 4 2 4 9" xfId="4683" xr:uid="{00000000-0005-0000-0000-0000850F0000}"/>
    <cellStyle name="Normal 2 4 2 4 9 2" xfId="13122" xr:uid="{A584A190-3B41-4B5D-A4C2-71F9FFD3025D}"/>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5686" xr:uid="{76482B87-2BEC-4CD0-8F9D-0B2B7D6B47BB}"/>
    <cellStyle name="Normal 2 4 2 5 2 2 2 3" xfId="11468" xr:uid="{FD38B0B3-70FA-42C5-AD38-3C0F993BEB2A}"/>
    <cellStyle name="Normal 2 4 2 5 2 2 3" xfId="5102" xr:uid="{00000000-0005-0000-0000-00008B0F0000}"/>
    <cellStyle name="Normal 2 4 2 5 2 2 3 2" xfId="13541" xr:uid="{4E1999AE-755B-4F1B-93E1-3BC0666BD1D2}"/>
    <cellStyle name="Normal 2 4 2 5 2 2 4" xfId="9323" xr:uid="{8C4DD898-09E5-4B09-B2E8-03BC0204F26E}"/>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16099" xr:uid="{201AC48A-5ADE-4435-9FB7-9137E0E03036}"/>
    <cellStyle name="Normal 2 4 2 5 2 3 2 3" xfId="11881" xr:uid="{0517A713-F0A6-434F-8607-644785B856B0}"/>
    <cellStyle name="Normal 2 4 2 5 2 3 3" xfId="5515" xr:uid="{00000000-0005-0000-0000-00008F0F0000}"/>
    <cellStyle name="Normal 2 4 2 5 2 3 3 2" xfId="13954" xr:uid="{FC3CACCA-7C89-4C9E-AA44-ACB2E8FDC325}"/>
    <cellStyle name="Normal 2 4 2 5 2 3 4" xfId="9736" xr:uid="{155C3B5A-E136-4D87-AE22-07BBD81D8B3C}"/>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16512" xr:uid="{915CB084-5649-4DC9-A759-B85F2203DF21}"/>
    <cellStyle name="Normal 2 4 2 5 2 4 2 3" xfId="12294" xr:uid="{0027F062-33EE-432E-AE34-838B9FA3E818}"/>
    <cellStyle name="Normal 2 4 2 5 2 4 3" xfId="5928" xr:uid="{00000000-0005-0000-0000-0000930F0000}"/>
    <cellStyle name="Normal 2 4 2 5 2 4 3 2" xfId="14367" xr:uid="{A0893501-375C-49A3-A23E-9DE42D76DDBE}"/>
    <cellStyle name="Normal 2 4 2 5 2 4 4" xfId="10149" xr:uid="{6A15D59B-7202-4A83-9CA0-0F85B6B37D9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16925" xr:uid="{9B1C44CA-81F7-48B8-B48E-73A9BE32C881}"/>
    <cellStyle name="Normal 2 4 2 5 2 5 2 3" xfId="12707" xr:uid="{3E7863E0-07B4-46BE-A75E-CEE60E8D1088}"/>
    <cellStyle name="Normal 2 4 2 5 2 5 3" xfId="6341" xr:uid="{00000000-0005-0000-0000-0000970F0000}"/>
    <cellStyle name="Normal 2 4 2 5 2 5 3 2" xfId="14780" xr:uid="{C032EF10-5FA0-46BB-85BC-E5C2C03A47BD}"/>
    <cellStyle name="Normal 2 4 2 5 2 5 4" xfId="10562" xr:uid="{76625F70-70CD-40BC-A8A4-C5AFEFE91591}"/>
    <cellStyle name="Normal 2 4 2 5 2 6" xfId="2470" xr:uid="{00000000-0005-0000-0000-0000980F0000}"/>
    <cellStyle name="Normal 2 4 2 5 2 6 2" xfId="6754" xr:uid="{00000000-0005-0000-0000-0000990F0000}"/>
    <cellStyle name="Normal 2 4 2 5 2 6 2 2" xfId="15193" xr:uid="{B7932380-21B6-412E-8E2F-8BCF6A2BD8BA}"/>
    <cellStyle name="Normal 2 4 2 5 2 6 3" xfId="10975" xr:uid="{4D2605DE-A7E0-4E49-868B-B261283E0CEE}"/>
    <cellStyle name="Normal 2 4 2 5 2 7" xfId="4688" xr:uid="{00000000-0005-0000-0000-00009A0F0000}"/>
    <cellStyle name="Normal 2 4 2 5 2 7 2" xfId="13127" xr:uid="{19332A0B-069F-4045-A12E-5AB0C78ADA52}"/>
    <cellStyle name="Normal 2 4 2 5 2 8" xfId="8909" xr:uid="{4FAE5924-E914-4AA0-9A95-C0ED59219F9C}"/>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5685" xr:uid="{03623D9D-600B-40F3-9764-EB41E0EE1469}"/>
    <cellStyle name="Normal 2 4 2 5 3 2 3" xfId="11467" xr:uid="{41CCFC61-32C5-4B5D-8011-058B41BEB9A4}"/>
    <cellStyle name="Normal 2 4 2 5 3 3" xfId="5101" xr:uid="{00000000-0005-0000-0000-00009E0F0000}"/>
    <cellStyle name="Normal 2 4 2 5 3 3 2" xfId="13540" xr:uid="{4ECDCEE9-DA36-4D25-9094-0B6A10B465CB}"/>
    <cellStyle name="Normal 2 4 2 5 3 4" xfId="9322" xr:uid="{2D42DF3E-57CD-4613-8AEE-4BF7A1BA1C07}"/>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16098" xr:uid="{9C1E0AAF-F2BA-47BD-B924-8B3BAF66D7F7}"/>
    <cellStyle name="Normal 2 4 2 5 4 2 3" xfId="11880" xr:uid="{EAED24A3-F95D-44D1-B802-0D9A20B73A1A}"/>
    <cellStyle name="Normal 2 4 2 5 4 3" xfId="5514" xr:uid="{00000000-0005-0000-0000-0000A20F0000}"/>
    <cellStyle name="Normal 2 4 2 5 4 3 2" xfId="13953" xr:uid="{AF78B1F5-BE29-42CF-882C-A301C8E896CF}"/>
    <cellStyle name="Normal 2 4 2 5 4 4" xfId="9735" xr:uid="{49312086-1FA1-47B2-9F40-C4A9FA51C3DD}"/>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16511" xr:uid="{DA899401-AF16-4883-94A0-CB7C5C8113D9}"/>
    <cellStyle name="Normal 2 4 2 5 5 2 3" xfId="12293" xr:uid="{1A3AC092-8496-4F25-941F-5524A91D893E}"/>
    <cellStyle name="Normal 2 4 2 5 5 3" xfId="5927" xr:uid="{00000000-0005-0000-0000-0000A60F0000}"/>
    <cellStyle name="Normal 2 4 2 5 5 3 2" xfId="14366" xr:uid="{C2107C1C-9349-4C7E-AFEA-F186F26CED80}"/>
    <cellStyle name="Normal 2 4 2 5 5 4" xfId="10148" xr:uid="{6F797A59-C9BA-4B6D-B483-7DF3D1AF1850}"/>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16924" xr:uid="{9FD3BDA1-8B4B-4FFC-91D4-340087E4418A}"/>
    <cellStyle name="Normal 2 4 2 5 6 2 3" xfId="12706" xr:uid="{9E4FE8EC-A986-4E04-961B-CC79783324C0}"/>
    <cellStyle name="Normal 2 4 2 5 6 3" xfId="6340" xr:uid="{00000000-0005-0000-0000-0000AA0F0000}"/>
    <cellStyle name="Normal 2 4 2 5 6 3 2" xfId="14779" xr:uid="{6BB9DBFB-ED17-46C5-8C50-D71363A42C28}"/>
    <cellStyle name="Normal 2 4 2 5 6 4" xfId="10561" xr:uid="{E4E68CEC-7359-47C7-99BB-BB6B41DA099D}"/>
    <cellStyle name="Normal 2 4 2 5 7" xfId="2469" xr:uid="{00000000-0005-0000-0000-0000AB0F0000}"/>
    <cellStyle name="Normal 2 4 2 5 7 2" xfId="6753" xr:uid="{00000000-0005-0000-0000-0000AC0F0000}"/>
    <cellStyle name="Normal 2 4 2 5 7 2 2" xfId="15192" xr:uid="{6139D734-3E00-4535-87E8-B69DD634C3F7}"/>
    <cellStyle name="Normal 2 4 2 5 7 3" xfId="10974" xr:uid="{94F1102C-CD61-46AA-8A2A-131501987D89}"/>
    <cellStyle name="Normal 2 4 2 5 8" xfId="4687" xr:uid="{00000000-0005-0000-0000-0000AD0F0000}"/>
    <cellStyle name="Normal 2 4 2 5 8 2" xfId="13126" xr:uid="{28818B75-F35C-4326-AD2E-D0928794C982}"/>
    <cellStyle name="Normal 2 4 2 5 9" xfId="8908" xr:uid="{46774DD3-F70D-4F19-B4FA-8C900249CAC3}"/>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5687" xr:uid="{9C7C1CF4-CA54-43F0-B92C-96F30F84DE2B}"/>
    <cellStyle name="Normal 2 4 2 6 2 2 3" xfId="11469" xr:uid="{19C13613-94BB-4CE5-94E6-490B4E344A24}"/>
    <cellStyle name="Normal 2 4 2 6 2 3" xfId="5103" xr:uid="{00000000-0005-0000-0000-0000B20F0000}"/>
    <cellStyle name="Normal 2 4 2 6 2 3 2" xfId="13542" xr:uid="{98E5D56E-15F9-4571-8987-1FAA59A3C333}"/>
    <cellStyle name="Normal 2 4 2 6 2 4" xfId="9324" xr:uid="{A4BB4D35-3509-412A-A46A-F68F23A863B4}"/>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16100" xr:uid="{96084574-B284-4778-80C3-3DEE410CAD93}"/>
    <cellStyle name="Normal 2 4 2 6 3 2 3" xfId="11882" xr:uid="{4BDD9C9B-B9F3-465C-8C1E-F2FEB3803874}"/>
    <cellStyle name="Normal 2 4 2 6 3 3" xfId="5516" xr:uid="{00000000-0005-0000-0000-0000B60F0000}"/>
    <cellStyle name="Normal 2 4 2 6 3 3 2" xfId="13955" xr:uid="{23E4498C-0788-4218-8374-0B1F5C213BBB}"/>
    <cellStyle name="Normal 2 4 2 6 3 4" xfId="9737" xr:uid="{FF74FE09-D1FB-4B2B-944D-2C02945B69D9}"/>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16513" xr:uid="{3C7D5E85-7F04-4CA0-A89E-7C40D6E65ED8}"/>
    <cellStyle name="Normal 2 4 2 6 4 2 3" xfId="12295" xr:uid="{9842E503-2356-48FC-A8F1-188741F024BF}"/>
    <cellStyle name="Normal 2 4 2 6 4 3" xfId="5929" xr:uid="{00000000-0005-0000-0000-0000BA0F0000}"/>
    <cellStyle name="Normal 2 4 2 6 4 3 2" xfId="14368" xr:uid="{47C587CA-A704-4144-A78B-4EF84C95B456}"/>
    <cellStyle name="Normal 2 4 2 6 4 4" xfId="10150" xr:uid="{E90C07F1-5A7B-4FF3-B3FF-2820F8F3FAF6}"/>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16926" xr:uid="{C7C0795B-FA14-4B78-8E99-059AE338464F}"/>
    <cellStyle name="Normal 2 4 2 6 5 2 3" xfId="12708" xr:uid="{94E0037A-CA1D-4893-BE05-99EA9E90E4A4}"/>
    <cellStyle name="Normal 2 4 2 6 5 3" xfId="6342" xr:uid="{00000000-0005-0000-0000-0000BE0F0000}"/>
    <cellStyle name="Normal 2 4 2 6 5 3 2" xfId="14781" xr:uid="{FB6A6F6A-E41E-45E2-9C8B-F9806E5AA998}"/>
    <cellStyle name="Normal 2 4 2 6 5 4" xfId="10563" xr:uid="{39533193-1261-49A9-A151-B90AF82B9576}"/>
    <cellStyle name="Normal 2 4 2 6 6" xfId="2471" xr:uid="{00000000-0005-0000-0000-0000BF0F0000}"/>
    <cellStyle name="Normal 2 4 2 6 6 2" xfId="6755" xr:uid="{00000000-0005-0000-0000-0000C00F0000}"/>
    <cellStyle name="Normal 2 4 2 6 6 2 2" xfId="15194" xr:uid="{6F33B95C-A92E-4527-ACAE-1E71FE5DBDA1}"/>
    <cellStyle name="Normal 2 4 2 6 6 3" xfId="10976" xr:uid="{72D2F1AD-89F9-4657-B393-1FE3D5CA56B0}"/>
    <cellStyle name="Normal 2 4 2 6 7" xfId="4689" xr:uid="{00000000-0005-0000-0000-0000C10F0000}"/>
    <cellStyle name="Normal 2 4 2 6 7 2" xfId="13128" xr:uid="{CC4ACD7A-5CE7-4DE0-9C02-4CD10097C507}"/>
    <cellStyle name="Normal 2 4 2 6 8" xfId="8910" xr:uid="{2273015F-EAE6-43CF-A127-BD51785DC71F}"/>
    <cellStyle name="Normal 2 4 2 7" xfId="771" xr:uid="{00000000-0005-0000-0000-0000C20F0000}"/>
    <cellStyle name="Normal 2 4 2 7 2" xfId="3010" xr:uid="{00000000-0005-0000-0000-0000C30F0000}"/>
    <cellStyle name="Normal 2 4 2 7 2 2" xfId="7233" xr:uid="{00000000-0005-0000-0000-0000C40F0000}"/>
    <cellStyle name="Normal 2 4 2 7 2 2 2" xfId="15672" xr:uid="{E9784CF8-DC31-4D9E-A588-7D1F281AB16B}"/>
    <cellStyle name="Normal 2 4 2 7 2 3" xfId="11454" xr:uid="{8EFFDFE4-FB3E-4137-ADC0-4D4EA8B7E52D}"/>
    <cellStyle name="Normal 2 4 2 7 3" xfId="5088" xr:uid="{00000000-0005-0000-0000-0000C50F0000}"/>
    <cellStyle name="Normal 2 4 2 7 3 2" xfId="13527" xr:uid="{4F73D492-E5A6-4DFF-83F5-B30191896A93}"/>
    <cellStyle name="Normal 2 4 2 7 4" xfId="9309" xr:uid="{777B77C0-4CAF-4793-8022-295BFC488BCA}"/>
    <cellStyle name="Normal 2 4 2 8" xfId="1193" xr:uid="{00000000-0005-0000-0000-0000C60F0000}"/>
    <cellStyle name="Normal 2 4 2 8 2" xfId="3423" xr:uid="{00000000-0005-0000-0000-0000C70F0000}"/>
    <cellStyle name="Normal 2 4 2 8 2 2" xfId="7646" xr:uid="{00000000-0005-0000-0000-0000C80F0000}"/>
    <cellStyle name="Normal 2 4 2 8 2 2 2" xfId="16085" xr:uid="{65848C0B-7102-42EA-97A2-F1BADE9B79E1}"/>
    <cellStyle name="Normal 2 4 2 8 2 3" xfId="11867" xr:uid="{E92A1EF9-C636-4E35-98B4-2A3803FF7DC0}"/>
    <cellStyle name="Normal 2 4 2 8 3" xfId="5501" xr:uid="{00000000-0005-0000-0000-0000C90F0000}"/>
    <cellStyle name="Normal 2 4 2 8 3 2" xfId="13940" xr:uid="{CFA5967A-37DD-42EF-93B2-DF8FF15AB891}"/>
    <cellStyle name="Normal 2 4 2 8 4" xfId="9722" xr:uid="{0FE62AC5-E898-4087-876A-FF34F4C17129}"/>
    <cellStyle name="Normal 2 4 2 9" xfId="1606" xr:uid="{00000000-0005-0000-0000-0000CA0F0000}"/>
    <cellStyle name="Normal 2 4 2 9 2" xfId="3836" xr:uid="{00000000-0005-0000-0000-0000CB0F0000}"/>
    <cellStyle name="Normal 2 4 2 9 2 2" xfId="8059" xr:uid="{00000000-0005-0000-0000-0000CC0F0000}"/>
    <cellStyle name="Normal 2 4 2 9 2 2 2" xfId="16498" xr:uid="{B2C66756-C3B5-4B32-B916-9767EB674AB6}"/>
    <cellStyle name="Normal 2 4 2 9 2 3" xfId="12280" xr:uid="{C7DE5260-10A1-4938-8619-A792601A1D7E}"/>
    <cellStyle name="Normal 2 4 2 9 3" xfId="5914" xr:uid="{00000000-0005-0000-0000-0000CD0F0000}"/>
    <cellStyle name="Normal 2 4 2 9 3 2" xfId="14353" xr:uid="{A7EB4B12-DAD8-49A9-AA91-ABECE3DA6D01}"/>
    <cellStyle name="Normal 2 4 2 9 4" xfId="10135" xr:uid="{196AC393-A4CB-4B84-8E53-5C682BA3B113}"/>
    <cellStyle name="Normal 2 4 3" xfId="296" xr:uid="{00000000-0005-0000-0000-0000CE0F0000}"/>
    <cellStyle name="Normal 2 4 3 10" xfId="8911" xr:uid="{ACC19668-1386-48DD-A921-874CABD0B3C1}"/>
    <cellStyle name="Normal 2 4 3 2" xfId="297" xr:uid="{00000000-0005-0000-0000-0000CF0F0000}"/>
    <cellStyle name="Normal 2 4 3 3" xfId="298" xr:uid="{00000000-0005-0000-0000-0000D00F0000}"/>
    <cellStyle name="Normal 2 4 3 3 10" xfId="8912" xr:uid="{D0CCF8E0-B1E9-4EE0-8725-6D7764A0250D}"/>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5691" xr:uid="{573FBC44-C102-4ACF-A937-83AA9F8D462D}"/>
    <cellStyle name="Normal 2 4 3 3 2 2 2 2 3" xfId="11473" xr:uid="{655D8DD6-DF16-44AF-ACE1-C4417065073D}"/>
    <cellStyle name="Normal 2 4 3 3 2 2 2 3" xfId="5107" xr:uid="{00000000-0005-0000-0000-0000D60F0000}"/>
    <cellStyle name="Normal 2 4 3 3 2 2 2 3 2" xfId="13546" xr:uid="{BD4408C8-571C-4E48-AC43-0FCE9DF3F7A5}"/>
    <cellStyle name="Normal 2 4 3 3 2 2 2 4" xfId="9328" xr:uid="{DAE7BD4B-6FCE-4507-8F26-DE835DE09314}"/>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16104" xr:uid="{0FBFCF54-BC82-44D1-BB13-9C1A854E08D7}"/>
    <cellStyle name="Normal 2 4 3 3 2 2 3 2 3" xfId="11886" xr:uid="{55EA3799-D244-460B-85C2-172E49749979}"/>
    <cellStyle name="Normal 2 4 3 3 2 2 3 3" xfId="5520" xr:uid="{00000000-0005-0000-0000-0000DA0F0000}"/>
    <cellStyle name="Normal 2 4 3 3 2 2 3 3 2" xfId="13959" xr:uid="{A2783076-7D9E-4D66-831B-4FA1AE4327A6}"/>
    <cellStyle name="Normal 2 4 3 3 2 2 3 4" xfId="9741" xr:uid="{3F6A2098-37AC-4D2B-8196-4734A9BCB958}"/>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16517" xr:uid="{CB7C6309-73E4-4649-9D57-420F119343FC}"/>
    <cellStyle name="Normal 2 4 3 3 2 2 4 2 3" xfId="12299" xr:uid="{812B3670-737E-4F53-BBC8-AC8368F805E0}"/>
    <cellStyle name="Normal 2 4 3 3 2 2 4 3" xfId="5933" xr:uid="{00000000-0005-0000-0000-0000DE0F0000}"/>
    <cellStyle name="Normal 2 4 3 3 2 2 4 3 2" xfId="14372" xr:uid="{38FF6CBA-B850-4BFA-9845-B190F2302A23}"/>
    <cellStyle name="Normal 2 4 3 3 2 2 4 4" xfId="10154" xr:uid="{5FD14A26-DAF9-4C65-96A3-4979A5EF466E}"/>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16930" xr:uid="{FD261DC6-A99C-4A14-901B-F9C32D387229}"/>
    <cellStyle name="Normal 2 4 3 3 2 2 5 2 3" xfId="12712" xr:uid="{F5A8415B-A980-4D23-A8E7-D7AD2DC04873}"/>
    <cellStyle name="Normal 2 4 3 3 2 2 5 3" xfId="6346" xr:uid="{00000000-0005-0000-0000-0000E20F0000}"/>
    <cellStyle name="Normal 2 4 3 3 2 2 5 3 2" xfId="14785" xr:uid="{2CA4F000-3A44-4903-83D4-E7775A229E8F}"/>
    <cellStyle name="Normal 2 4 3 3 2 2 5 4" xfId="10567" xr:uid="{B3264DD3-10F9-4E06-BCCC-48FF5871571F}"/>
    <cellStyle name="Normal 2 4 3 3 2 2 6" xfId="2475" xr:uid="{00000000-0005-0000-0000-0000E30F0000}"/>
    <cellStyle name="Normal 2 4 3 3 2 2 6 2" xfId="6759" xr:uid="{00000000-0005-0000-0000-0000E40F0000}"/>
    <cellStyle name="Normal 2 4 3 3 2 2 6 2 2" xfId="15198" xr:uid="{D8319987-4C9C-4E4A-B63F-9660857ED197}"/>
    <cellStyle name="Normal 2 4 3 3 2 2 6 3" xfId="10980" xr:uid="{D7EE696B-BBAF-4C6D-9EA2-8205D32EF086}"/>
    <cellStyle name="Normal 2 4 3 3 2 2 7" xfId="4693" xr:uid="{00000000-0005-0000-0000-0000E50F0000}"/>
    <cellStyle name="Normal 2 4 3 3 2 2 7 2" xfId="13132" xr:uid="{6CF3C63C-0994-4E15-94F7-4743EB56CE84}"/>
    <cellStyle name="Normal 2 4 3 3 2 2 8" xfId="8914" xr:uid="{24E3145C-9DF0-40CE-9F1E-417FF41474ED}"/>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5690" xr:uid="{8D58E841-5AB4-4A3B-9F33-20A19895BBE3}"/>
    <cellStyle name="Normal 2 4 3 3 2 3 2 3" xfId="11472" xr:uid="{021C4648-7D1B-46A0-8A34-849AE7DC1240}"/>
    <cellStyle name="Normal 2 4 3 3 2 3 3" xfId="5106" xr:uid="{00000000-0005-0000-0000-0000E90F0000}"/>
    <cellStyle name="Normal 2 4 3 3 2 3 3 2" xfId="13545" xr:uid="{5286F5B5-F52B-436A-B3DE-D6E11F33D49C}"/>
    <cellStyle name="Normal 2 4 3 3 2 3 4" xfId="9327" xr:uid="{F677CE3E-2577-4EFF-9977-9FF49A249187}"/>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16103" xr:uid="{EC08BAFE-1DAF-4A58-B46D-5CF69A79D78D}"/>
    <cellStyle name="Normal 2 4 3 3 2 4 2 3" xfId="11885" xr:uid="{74ED3537-5A7F-40B6-98DD-CEFD5A757CD3}"/>
    <cellStyle name="Normal 2 4 3 3 2 4 3" xfId="5519" xr:uid="{00000000-0005-0000-0000-0000ED0F0000}"/>
    <cellStyle name="Normal 2 4 3 3 2 4 3 2" xfId="13958" xr:uid="{7B3303B5-719F-46F1-9AC4-3739211D512B}"/>
    <cellStyle name="Normal 2 4 3 3 2 4 4" xfId="9740" xr:uid="{460FE344-A152-4C0E-8166-C935459A61F6}"/>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16516" xr:uid="{7077D0AB-56B4-4ECC-93C0-71C42F3F2005}"/>
    <cellStyle name="Normal 2 4 3 3 2 5 2 3" xfId="12298" xr:uid="{573A4483-00B3-457B-9A0A-1894EE3790A6}"/>
    <cellStyle name="Normal 2 4 3 3 2 5 3" xfId="5932" xr:uid="{00000000-0005-0000-0000-0000F10F0000}"/>
    <cellStyle name="Normal 2 4 3 3 2 5 3 2" xfId="14371" xr:uid="{3D24C3A0-2BEF-4C8B-974B-E63FF745175F}"/>
    <cellStyle name="Normal 2 4 3 3 2 5 4" xfId="10153" xr:uid="{6FCE4E26-8C9D-4BC4-A3EA-6F3D69FC33B4}"/>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16929" xr:uid="{FC45AA7D-3A36-4DBD-ABAF-8FB7EB145006}"/>
    <cellStyle name="Normal 2 4 3 3 2 6 2 3" xfId="12711" xr:uid="{E1382AA4-49A4-405D-A02B-04D9F2E9F240}"/>
    <cellStyle name="Normal 2 4 3 3 2 6 3" xfId="6345" xr:uid="{00000000-0005-0000-0000-0000F50F0000}"/>
    <cellStyle name="Normal 2 4 3 3 2 6 3 2" xfId="14784" xr:uid="{4AAFD03C-11C9-4272-A64F-4EBAFA6AFAF5}"/>
    <cellStyle name="Normal 2 4 3 3 2 6 4" xfId="10566" xr:uid="{DCA4B20F-795A-4BD9-96BE-7C760BA1EE5B}"/>
    <cellStyle name="Normal 2 4 3 3 2 7" xfId="2474" xr:uid="{00000000-0005-0000-0000-0000F60F0000}"/>
    <cellStyle name="Normal 2 4 3 3 2 7 2" xfId="6758" xr:uid="{00000000-0005-0000-0000-0000F70F0000}"/>
    <cellStyle name="Normal 2 4 3 3 2 7 2 2" xfId="15197" xr:uid="{446693C2-B920-49E9-A16A-ED22E0A31782}"/>
    <cellStyle name="Normal 2 4 3 3 2 7 3" xfId="10979" xr:uid="{C66E9B44-617B-43E7-9F51-C45AAC2C7693}"/>
    <cellStyle name="Normal 2 4 3 3 2 8" xfId="4692" xr:uid="{00000000-0005-0000-0000-0000F80F0000}"/>
    <cellStyle name="Normal 2 4 3 3 2 8 2" xfId="13131" xr:uid="{95E2D788-16EE-4C37-AE8E-7993A77AD1DA}"/>
    <cellStyle name="Normal 2 4 3 3 2 9" xfId="8913" xr:uid="{2AF77D01-0655-4A81-A880-8C46AEE36E0D}"/>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5692" xr:uid="{E2092D79-1B34-4872-BE1F-A56352426021}"/>
    <cellStyle name="Normal 2 4 3 3 3 2 2 3" xfId="11474" xr:uid="{D48953C0-D102-4782-80A3-D37DFF3A36E7}"/>
    <cellStyle name="Normal 2 4 3 3 3 2 3" xfId="5108" xr:uid="{00000000-0005-0000-0000-0000FD0F0000}"/>
    <cellStyle name="Normal 2 4 3 3 3 2 3 2" xfId="13547" xr:uid="{1FB89487-9961-42FB-8FDD-A0AC8DBF05B8}"/>
    <cellStyle name="Normal 2 4 3 3 3 2 4" xfId="9329" xr:uid="{73C0006D-A438-48CD-9F14-E00C056438E9}"/>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16105" xr:uid="{899390B3-15C3-4D57-BE7B-EEE72C8EB386}"/>
    <cellStyle name="Normal 2 4 3 3 3 3 2 3" xfId="11887" xr:uid="{B45BBD86-611C-4488-B161-09C15A9D0DD5}"/>
    <cellStyle name="Normal 2 4 3 3 3 3 3" xfId="5521" xr:uid="{00000000-0005-0000-0000-000001100000}"/>
    <cellStyle name="Normal 2 4 3 3 3 3 3 2" xfId="13960" xr:uid="{CAA18552-48AA-4AE6-9B2D-F9A42FAD4887}"/>
    <cellStyle name="Normal 2 4 3 3 3 3 4" xfId="9742" xr:uid="{AF5CEC06-ADAE-4246-9398-FADA1681DD7E}"/>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16518" xr:uid="{C9B5E7F3-13DD-4D91-9780-27442E6E8C2A}"/>
    <cellStyle name="Normal 2 4 3 3 3 4 2 3" xfId="12300" xr:uid="{0DAD7354-732B-4B37-8712-7D6BED3FB91A}"/>
    <cellStyle name="Normal 2 4 3 3 3 4 3" xfId="5934" xr:uid="{00000000-0005-0000-0000-000005100000}"/>
    <cellStyle name="Normal 2 4 3 3 3 4 3 2" xfId="14373" xr:uid="{5B2D7A56-805F-441B-9BD7-04C5AD5A21F6}"/>
    <cellStyle name="Normal 2 4 3 3 3 4 4" xfId="10155" xr:uid="{3C64030D-B749-4F86-B8BC-A8B81923B6BF}"/>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16931" xr:uid="{7D205ADE-2D14-4902-A315-EB6C67985FEF}"/>
    <cellStyle name="Normal 2 4 3 3 3 5 2 3" xfId="12713" xr:uid="{CFF78B1F-30CB-4848-84C9-530256C882A9}"/>
    <cellStyle name="Normal 2 4 3 3 3 5 3" xfId="6347" xr:uid="{00000000-0005-0000-0000-000009100000}"/>
    <cellStyle name="Normal 2 4 3 3 3 5 3 2" xfId="14786" xr:uid="{72F62F8C-A9AB-4CB7-AC4B-3C0EC82342A3}"/>
    <cellStyle name="Normal 2 4 3 3 3 5 4" xfId="10568" xr:uid="{E5D68C00-E55B-401D-B19E-A37DB89D80A9}"/>
    <cellStyle name="Normal 2 4 3 3 3 6" xfId="2476" xr:uid="{00000000-0005-0000-0000-00000A100000}"/>
    <cellStyle name="Normal 2 4 3 3 3 6 2" xfId="6760" xr:uid="{00000000-0005-0000-0000-00000B100000}"/>
    <cellStyle name="Normal 2 4 3 3 3 6 2 2" xfId="15199" xr:uid="{B419E093-47D1-464A-8EA5-E74FE1739264}"/>
    <cellStyle name="Normal 2 4 3 3 3 6 3" xfId="10981" xr:uid="{2B722BDC-B9BA-4377-A5A9-E87E57F86DEC}"/>
    <cellStyle name="Normal 2 4 3 3 3 7" xfId="4694" xr:uid="{00000000-0005-0000-0000-00000C100000}"/>
    <cellStyle name="Normal 2 4 3 3 3 7 2" xfId="13133" xr:uid="{308A662C-D120-4D5C-8280-3FEBDA6F0658}"/>
    <cellStyle name="Normal 2 4 3 3 3 8" xfId="8915" xr:uid="{34DDCA00-322D-43C0-A0EB-38878792980E}"/>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5689" xr:uid="{132C82EC-FF4B-4FBB-A703-DF4A9CAB6BED}"/>
    <cellStyle name="Normal 2 4 3 3 4 2 3" xfId="11471" xr:uid="{93793F81-DA79-4298-91B8-F3F37D4298DE}"/>
    <cellStyle name="Normal 2 4 3 3 4 3" xfId="5105" xr:uid="{00000000-0005-0000-0000-000010100000}"/>
    <cellStyle name="Normal 2 4 3 3 4 3 2" xfId="13544" xr:uid="{D7610F2D-C65B-4E3A-B208-1BD0F449F0D3}"/>
    <cellStyle name="Normal 2 4 3 3 4 4" xfId="9326" xr:uid="{58CDE04A-36AC-4166-BD08-9308EEDD3140}"/>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16102" xr:uid="{22B1E8AF-8A45-4427-83F0-D09C6FB6B4A2}"/>
    <cellStyle name="Normal 2 4 3 3 5 2 3" xfId="11884" xr:uid="{46F8065B-5C4E-4CE8-B1D0-9D21D6D0FACD}"/>
    <cellStyle name="Normal 2 4 3 3 5 3" xfId="5518" xr:uid="{00000000-0005-0000-0000-000014100000}"/>
    <cellStyle name="Normal 2 4 3 3 5 3 2" xfId="13957" xr:uid="{C932417C-C8E3-4FFC-8946-6769ADA8B2B3}"/>
    <cellStyle name="Normal 2 4 3 3 5 4" xfId="9739" xr:uid="{51771B3C-6AD4-498A-B23D-41468636DE0E}"/>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16515" xr:uid="{0B4D727E-6B79-4B7B-8D66-98F6F140BB44}"/>
    <cellStyle name="Normal 2 4 3 3 6 2 3" xfId="12297" xr:uid="{499BD4E9-606F-4A15-8335-719635C860F8}"/>
    <cellStyle name="Normal 2 4 3 3 6 3" xfId="5931" xr:uid="{00000000-0005-0000-0000-000018100000}"/>
    <cellStyle name="Normal 2 4 3 3 6 3 2" xfId="14370" xr:uid="{775F56BB-C929-4487-9B61-6BC3F376850F}"/>
    <cellStyle name="Normal 2 4 3 3 6 4" xfId="10152" xr:uid="{1A89E0D4-DD2E-4F65-B5C7-CCD641B1B566}"/>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16928" xr:uid="{F512189A-5B93-4AB5-A431-21559B82300C}"/>
    <cellStyle name="Normal 2 4 3 3 7 2 3" xfId="12710" xr:uid="{240C501E-0A68-47D3-8CA7-F53E6E0C8CCD}"/>
    <cellStyle name="Normal 2 4 3 3 7 3" xfId="6344" xr:uid="{00000000-0005-0000-0000-00001C100000}"/>
    <cellStyle name="Normal 2 4 3 3 7 3 2" xfId="14783" xr:uid="{7A19109B-8BEE-4CD3-926C-AE989C38F1A5}"/>
    <cellStyle name="Normal 2 4 3 3 7 4" xfId="10565" xr:uid="{83DC128E-4B60-4508-BD69-50166D79875D}"/>
    <cellStyle name="Normal 2 4 3 3 8" xfId="2473" xr:uid="{00000000-0005-0000-0000-00001D100000}"/>
    <cellStyle name="Normal 2 4 3 3 8 2" xfId="6757" xr:uid="{00000000-0005-0000-0000-00001E100000}"/>
    <cellStyle name="Normal 2 4 3 3 8 2 2" xfId="15196" xr:uid="{0B6235AD-B1A3-43A3-9CF7-B27E9BB0E8CD}"/>
    <cellStyle name="Normal 2 4 3 3 8 3" xfId="10978" xr:uid="{E84066D1-2791-4F8D-9A8C-2DD9EFFF0D71}"/>
    <cellStyle name="Normal 2 4 3 3 9" xfId="4691" xr:uid="{00000000-0005-0000-0000-00001F100000}"/>
    <cellStyle name="Normal 2 4 3 3 9 2" xfId="13130" xr:uid="{3948F6B3-1B74-4E36-9319-67D6642B7F3E}"/>
    <cellStyle name="Normal 2 4 3 4" xfId="787" xr:uid="{00000000-0005-0000-0000-000020100000}"/>
    <cellStyle name="Normal 2 4 3 4 2" xfId="3026" xr:uid="{00000000-0005-0000-0000-000021100000}"/>
    <cellStyle name="Normal 2 4 3 4 2 2" xfId="7249" xr:uid="{00000000-0005-0000-0000-000022100000}"/>
    <cellStyle name="Normal 2 4 3 4 2 2 2" xfId="15688" xr:uid="{222BDBB1-1FA7-46C6-9BA3-121AB28DE396}"/>
    <cellStyle name="Normal 2 4 3 4 2 3" xfId="11470" xr:uid="{A963742D-0FFC-4882-8CDB-05CACA95722A}"/>
    <cellStyle name="Normal 2 4 3 4 3" xfId="5104" xr:uid="{00000000-0005-0000-0000-000023100000}"/>
    <cellStyle name="Normal 2 4 3 4 3 2" xfId="13543" xr:uid="{380BFBB6-B0EC-458B-A4CE-DBC7AD6C94AA}"/>
    <cellStyle name="Normal 2 4 3 4 4" xfId="9325" xr:uid="{FD56568A-AC0A-4EED-BF56-BC9B3F3AA5CA}"/>
    <cellStyle name="Normal 2 4 3 5" xfId="1209" xr:uid="{00000000-0005-0000-0000-000024100000}"/>
    <cellStyle name="Normal 2 4 3 5 2" xfId="3439" xr:uid="{00000000-0005-0000-0000-000025100000}"/>
    <cellStyle name="Normal 2 4 3 5 2 2" xfId="7662" xr:uid="{00000000-0005-0000-0000-000026100000}"/>
    <cellStyle name="Normal 2 4 3 5 2 2 2" xfId="16101" xr:uid="{D887673D-709D-4579-B8EC-4A459E8EF525}"/>
    <cellStyle name="Normal 2 4 3 5 2 3" xfId="11883" xr:uid="{0FF4D958-AB9D-4294-B7A7-6F8F4E8B08BF}"/>
    <cellStyle name="Normal 2 4 3 5 3" xfId="5517" xr:uid="{00000000-0005-0000-0000-000027100000}"/>
    <cellStyle name="Normal 2 4 3 5 3 2" xfId="13956" xr:uid="{FBB893E4-C56C-4419-AC77-C1562A4AEA36}"/>
    <cellStyle name="Normal 2 4 3 5 4" xfId="9738" xr:uid="{CE452A6E-1559-42DF-9A74-6A377C6E6E8A}"/>
    <cellStyle name="Normal 2 4 3 6" xfId="1622" xr:uid="{00000000-0005-0000-0000-000028100000}"/>
    <cellStyle name="Normal 2 4 3 6 2" xfId="3852" xr:uid="{00000000-0005-0000-0000-000029100000}"/>
    <cellStyle name="Normal 2 4 3 6 2 2" xfId="8075" xr:uid="{00000000-0005-0000-0000-00002A100000}"/>
    <cellStyle name="Normal 2 4 3 6 2 2 2" xfId="16514" xr:uid="{1A96945B-C035-48CA-AF96-CD812347A020}"/>
    <cellStyle name="Normal 2 4 3 6 2 3" xfId="12296" xr:uid="{C08AF09D-B74B-4EA3-9504-3E2D7A26067C}"/>
    <cellStyle name="Normal 2 4 3 6 3" xfId="5930" xr:uid="{00000000-0005-0000-0000-00002B100000}"/>
    <cellStyle name="Normal 2 4 3 6 3 2" xfId="14369" xr:uid="{8C65A0E1-CF14-42A5-A57F-C0F342848BE4}"/>
    <cellStyle name="Normal 2 4 3 6 4" xfId="10151" xr:uid="{043D1E10-0417-49A2-9238-7988E4B1C7A3}"/>
    <cellStyle name="Normal 2 4 3 7" xfId="2036" xr:uid="{00000000-0005-0000-0000-00002C100000}"/>
    <cellStyle name="Normal 2 4 3 7 2" xfId="4265" xr:uid="{00000000-0005-0000-0000-00002D100000}"/>
    <cellStyle name="Normal 2 4 3 7 2 2" xfId="8488" xr:uid="{00000000-0005-0000-0000-00002E100000}"/>
    <cellStyle name="Normal 2 4 3 7 2 2 2" xfId="16927" xr:uid="{542622FA-6076-43F3-99B1-47FD31CDC999}"/>
    <cellStyle name="Normal 2 4 3 7 2 3" xfId="12709" xr:uid="{09AA867B-7963-4278-9ADE-1973E70FD2BC}"/>
    <cellStyle name="Normal 2 4 3 7 3" xfId="6343" xr:uid="{00000000-0005-0000-0000-00002F100000}"/>
    <cellStyle name="Normal 2 4 3 7 3 2" xfId="14782" xr:uid="{F4C0F201-F8B0-4269-A520-99AA6B098FD8}"/>
    <cellStyle name="Normal 2 4 3 7 4" xfId="10564" xr:uid="{CEF63EF1-FA68-4E3A-BCAC-8411804AC465}"/>
    <cellStyle name="Normal 2 4 3 8" xfId="2472" xr:uid="{00000000-0005-0000-0000-000030100000}"/>
    <cellStyle name="Normal 2 4 3 8 2" xfId="6756" xr:uid="{00000000-0005-0000-0000-000031100000}"/>
    <cellStyle name="Normal 2 4 3 8 2 2" xfId="15195" xr:uid="{FA814028-D38A-461F-8DB5-FF68C1098718}"/>
    <cellStyle name="Normal 2 4 3 8 3" xfId="10977" xr:uid="{3FA1C4BC-BA59-4107-BCE1-8786F6DD57FE}"/>
    <cellStyle name="Normal 2 4 3 9" xfId="4690" xr:uid="{00000000-0005-0000-0000-000032100000}"/>
    <cellStyle name="Normal 2 4 3 9 2" xfId="13129" xr:uid="{4A97DEC9-2165-4423-8A22-BF74D17B93A9}"/>
    <cellStyle name="Normal 2 4 4" xfId="302" xr:uid="{00000000-0005-0000-0000-000033100000}"/>
    <cellStyle name="Normal 2 4 5" xfId="303" xr:uid="{00000000-0005-0000-0000-000034100000}"/>
    <cellStyle name="Normal 2 4 5 10" xfId="4695" xr:uid="{00000000-0005-0000-0000-000035100000}"/>
    <cellStyle name="Normal 2 4 5 10 2" xfId="13134" xr:uid="{582F73A6-D310-4460-A00E-9012D52DA397}"/>
    <cellStyle name="Normal 2 4 5 11" xfId="8916" xr:uid="{4687E8D9-569E-4DEC-9963-E5E00C145CFD}"/>
    <cellStyle name="Normal 2 4 5 2" xfId="304" xr:uid="{00000000-0005-0000-0000-000036100000}"/>
    <cellStyle name="Normal 2 4 5 2 10" xfId="8917" xr:uid="{BAA6A24D-11BE-4E7B-8B74-D2D7E5F88D36}"/>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5696" xr:uid="{C90B8F52-3E75-48E6-9AE7-6731F2ABB91A}"/>
    <cellStyle name="Normal 2 4 5 2 2 2 2 2 3" xfId="11478" xr:uid="{5BEAB1AE-A5BD-4095-A0E9-EAF90B620C3B}"/>
    <cellStyle name="Normal 2 4 5 2 2 2 2 3" xfId="5112" xr:uid="{00000000-0005-0000-0000-00003C100000}"/>
    <cellStyle name="Normal 2 4 5 2 2 2 2 3 2" xfId="13551" xr:uid="{8D82D943-B23F-4692-8E3F-AF324E90B4EB}"/>
    <cellStyle name="Normal 2 4 5 2 2 2 2 4" xfId="9333" xr:uid="{2B80BF08-2060-4637-8E53-326CD1C397B4}"/>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16109" xr:uid="{53328AA0-B8DD-4D81-A45B-C9317B41A84D}"/>
    <cellStyle name="Normal 2 4 5 2 2 2 3 2 3" xfId="11891" xr:uid="{99C0858C-4A99-4385-B8DD-5446C164072A}"/>
    <cellStyle name="Normal 2 4 5 2 2 2 3 3" xfId="5525" xr:uid="{00000000-0005-0000-0000-000040100000}"/>
    <cellStyle name="Normal 2 4 5 2 2 2 3 3 2" xfId="13964" xr:uid="{AD021DD6-5C25-4830-8DF6-3751ECAD75B7}"/>
    <cellStyle name="Normal 2 4 5 2 2 2 3 4" xfId="9746" xr:uid="{D3E21C0C-CB4C-48D1-8ABF-397534200ECE}"/>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16522" xr:uid="{EB66FB5B-DC1D-44F5-ADEC-7380D853C661}"/>
    <cellStyle name="Normal 2 4 5 2 2 2 4 2 3" xfId="12304" xr:uid="{2FB7B376-D56D-4599-A314-587858D722A9}"/>
    <cellStyle name="Normal 2 4 5 2 2 2 4 3" xfId="5938" xr:uid="{00000000-0005-0000-0000-000044100000}"/>
    <cellStyle name="Normal 2 4 5 2 2 2 4 3 2" xfId="14377" xr:uid="{D1108E52-16EF-47D5-B2C9-6735F720A547}"/>
    <cellStyle name="Normal 2 4 5 2 2 2 4 4" xfId="10159" xr:uid="{094A43D0-6158-4D16-A095-FD64D2CB3E7A}"/>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16935" xr:uid="{5A8EF592-0DFF-4754-ACEB-8A1FA1CE74FE}"/>
    <cellStyle name="Normal 2 4 5 2 2 2 5 2 3" xfId="12717" xr:uid="{8A8DF60D-EA1E-401F-9474-8CEF1CEE583C}"/>
    <cellStyle name="Normal 2 4 5 2 2 2 5 3" xfId="6351" xr:uid="{00000000-0005-0000-0000-000048100000}"/>
    <cellStyle name="Normal 2 4 5 2 2 2 5 3 2" xfId="14790" xr:uid="{6092AF9C-F398-42D1-ABCF-0A7A3B37AED6}"/>
    <cellStyle name="Normal 2 4 5 2 2 2 5 4" xfId="10572" xr:uid="{0F076445-78DB-4A82-B2A9-5FB1BAA2FEAA}"/>
    <cellStyle name="Normal 2 4 5 2 2 2 6" xfId="2480" xr:uid="{00000000-0005-0000-0000-000049100000}"/>
    <cellStyle name="Normal 2 4 5 2 2 2 6 2" xfId="6764" xr:uid="{00000000-0005-0000-0000-00004A100000}"/>
    <cellStyle name="Normal 2 4 5 2 2 2 6 2 2" xfId="15203" xr:uid="{21CA5980-0C3C-4B3F-8D99-8A54D02072EE}"/>
    <cellStyle name="Normal 2 4 5 2 2 2 6 3" xfId="10985" xr:uid="{17DF802D-F7A8-4567-8679-5AD35E5BFF48}"/>
    <cellStyle name="Normal 2 4 5 2 2 2 7" xfId="4698" xr:uid="{00000000-0005-0000-0000-00004B100000}"/>
    <cellStyle name="Normal 2 4 5 2 2 2 7 2" xfId="13137" xr:uid="{1D227BA0-B538-4221-9DEC-4D009E49C11F}"/>
    <cellStyle name="Normal 2 4 5 2 2 2 8" xfId="8919" xr:uid="{681798E7-37F1-4760-B8B8-F7D5B7B1DBF7}"/>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5695" xr:uid="{BA5C49C4-7F65-4CD5-94E8-C063FD616729}"/>
    <cellStyle name="Normal 2 4 5 2 2 3 2 3" xfId="11477" xr:uid="{964A929E-4E0C-4E1E-BAF2-69AF75498D5F}"/>
    <cellStyle name="Normal 2 4 5 2 2 3 3" xfId="5111" xr:uid="{00000000-0005-0000-0000-00004F100000}"/>
    <cellStyle name="Normal 2 4 5 2 2 3 3 2" xfId="13550" xr:uid="{D35448E4-99D8-4F4C-8AFF-D054B5D7E729}"/>
    <cellStyle name="Normal 2 4 5 2 2 3 4" xfId="9332" xr:uid="{F5620BDA-073F-4C5B-849F-AC45BC04A014}"/>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16108" xr:uid="{65A90BFE-250E-4212-9119-7C7F87421B4A}"/>
    <cellStyle name="Normal 2 4 5 2 2 4 2 3" xfId="11890" xr:uid="{C6C2C910-7350-40A3-866F-282BEEE1443F}"/>
    <cellStyle name="Normal 2 4 5 2 2 4 3" xfId="5524" xr:uid="{00000000-0005-0000-0000-000053100000}"/>
    <cellStyle name="Normal 2 4 5 2 2 4 3 2" xfId="13963" xr:uid="{9EBCF04B-2732-4360-8DC1-E586FA1C280E}"/>
    <cellStyle name="Normal 2 4 5 2 2 4 4" xfId="9745" xr:uid="{D2778A13-2A60-4A7E-8368-5249F10DE694}"/>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16521" xr:uid="{2C117FE4-BD46-4866-B5F7-3BAD162A72C9}"/>
    <cellStyle name="Normal 2 4 5 2 2 5 2 3" xfId="12303" xr:uid="{C3C1BB10-208F-474B-8B1D-739F0567B6DA}"/>
    <cellStyle name="Normal 2 4 5 2 2 5 3" xfId="5937" xr:uid="{00000000-0005-0000-0000-000057100000}"/>
    <cellStyle name="Normal 2 4 5 2 2 5 3 2" xfId="14376" xr:uid="{D87AF4E8-FD22-43FD-8011-3CE01B01DC0B}"/>
    <cellStyle name="Normal 2 4 5 2 2 5 4" xfId="10158" xr:uid="{B302436D-02BF-44CF-BCDC-F8C77602EB65}"/>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16934" xr:uid="{D700B020-CD87-497D-BD14-8B009928A786}"/>
    <cellStyle name="Normal 2 4 5 2 2 6 2 3" xfId="12716" xr:uid="{CF5DEE28-E157-45A8-A75F-A01C2F4D200F}"/>
    <cellStyle name="Normal 2 4 5 2 2 6 3" xfId="6350" xr:uid="{00000000-0005-0000-0000-00005B100000}"/>
    <cellStyle name="Normal 2 4 5 2 2 6 3 2" xfId="14789" xr:uid="{65D7F9EF-74DF-4D88-8474-CE2F904FD91C}"/>
    <cellStyle name="Normal 2 4 5 2 2 6 4" xfId="10571" xr:uid="{6BEC355D-51DC-4251-B6EE-EF8B091A0024}"/>
    <cellStyle name="Normal 2 4 5 2 2 7" xfId="2479" xr:uid="{00000000-0005-0000-0000-00005C100000}"/>
    <cellStyle name="Normal 2 4 5 2 2 7 2" xfId="6763" xr:uid="{00000000-0005-0000-0000-00005D100000}"/>
    <cellStyle name="Normal 2 4 5 2 2 7 2 2" xfId="15202" xr:uid="{EBF9102D-9D09-43D4-826F-13E8074006A6}"/>
    <cellStyle name="Normal 2 4 5 2 2 7 3" xfId="10984" xr:uid="{4F0CFA42-12AD-4C9A-A4BD-4A66FA9F9ECC}"/>
    <cellStyle name="Normal 2 4 5 2 2 8" xfId="4697" xr:uid="{00000000-0005-0000-0000-00005E100000}"/>
    <cellStyle name="Normal 2 4 5 2 2 8 2" xfId="13136" xr:uid="{C162564C-8449-4660-899A-FA31E01C69E7}"/>
    <cellStyle name="Normal 2 4 5 2 2 9" xfId="8918" xr:uid="{837800D3-5AA5-4232-BE7F-CEFDB291DE45}"/>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5697" xr:uid="{74E4464E-F06E-45E4-8CC6-43553332904C}"/>
    <cellStyle name="Normal 2 4 5 2 3 2 2 3" xfId="11479" xr:uid="{3AFC453F-CADA-4B94-A3B3-FFEE553D475E}"/>
    <cellStyle name="Normal 2 4 5 2 3 2 3" xfId="5113" xr:uid="{00000000-0005-0000-0000-000063100000}"/>
    <cellStyle name="Normal 2 4 5 2 3 2 3 2" xfId="13552" xr:uid="{F342F77F-C18A-4F18-ADD1-43B6BB02FB2C}"/>
    <cellStyle name="Normal 2 4 5 2 3 2 4" xfId="9334" xr:uid="{D8A1F41C-D2FC-4397-B1A5-E961E9A4EF0B}"/>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16110" xr:uid="{C15D3F63-53DC-49E0-A0BB-477EE5C975E6}"/>
    <cellStyle name="Normal 2 4 5 2 3 3 2 3" xfId="11892" xr:uid="{D38D6F4B-B70C-46A6-82FA-ECB22E9704A0}"/>
    <cellStyle name="Normal 2 4 5 2 3 3 3" xfId="5526" xr:uid="{00000000-0005-0000-0000-000067100000}"/>
    <cellStyle name="Normal 2 4 5 2 3 3 3 2" xfId="13965" xr:uid="{0941FA9E-857D-4D67-856A-C89A8C3DE4E6}"/>
    <cellStyle name="Normal 2 4 5 2 3 3 4" xfId="9747" xr:uid="{A427FC95-D39A-4D2F-9730-9102001ACCF8}"/>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16523" xr:uid="{0AEF6F9A-246A-4C26-B6A9-785437BBF84A}"/>
    <cellStyle name="Normal 2 4 5 2 3 4 2 3" xfId="12305" xr:uid="{4CCC36F9-77BD-48EE-B506-6523BDF4F9A8}"/>
    <cellStyle name="Normal 2 4 5 2 3 4 3" xfId="5939" xr:uid="{00000000-0005-0000-0000-00006B100000}"/>
    <cellStyle name="Normal 2 4 5 2 3 4 3 2" xfId="14378" xr:uid="{0A07C08B-6FA2-4AE2-8172-591FD52895DE}"/>
    <cellStyle name="Normal 2 4 5 2 3 4 4" xfId="10160" xr:uid="{3DCA9EB2-D3B3-4CED-82B0-97366FF4E858}"/>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16936" xr:uid="{76BCF341-266E-4073-A756-6368AA4F8BA0}"/>
    <cellStyle name="Normal 2 4 5 2 3 5 2 3" xfId="12718" xr:uid="{09993AED-9DC4-4C07-BDE1-048D5888E5EE}"/>
    <cellStyle name="Normal 2 4 5 2 3 5 3" xfId="6352" xr:uid="{00000000-0005-0000-0000-00006F100000}"/>
    <cellStyle name="Normal 2 4 5 2 3 5 3 2" xfId="14791" xr:uid="{103A4CE1-1509-4045-8CEB-9872C338D99A}"/>
    <cellStyle name="Normal 2 4 5 2 3 5 4" xfId="10573" xr:uid="{19BBF2EB-614A-43F0-896A-B3D5E96F9378}"/>
    <cellStyle name="Normal 2 4 5 2 3 6" xfId="2481" xr:uid="{00000000-0005-0000-0000-000070100000}"/>
    <cellStyle name="Normal 2 4 5 2 3 6 2" xfId="6765" xr:uid="{00000000-0005-0000-0000-000071100000}"/>
    <cellStyle name="Normal 2 4 5 2 3 6 2 2" xfId="15204" xr:uid="{E82584F9-046B-4DFD-AAA8-0AEBAC6D03FF}"/>
    <cellStyle name="Normal 2 4 5 2 3 6 3" xfId="10986" xr:uid="{CE34F4FA-4E63-4B2B-AB31-036CD1D5CAF5}"/>
    <cellStyle name="Normal 2 4 5 2 3 7" xfId="4699" xr:uid="{00000000-0005-0000-0000-000072100000}"/>
    <cellStyle name="Normal 2 4 5 2 3 7 2" xfId="13138" xr:uid="{5088D6D0-3261-40FD-8C53-72600D6A96AE}"/>
    <cellStyle name="Normal 2 4 5 2 3 8" xfId="8920" xr:uid="{BF9FE166-4823-4629-A534-A86428E4DAE9}"/>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5694" xr:uid="{3E24DB4D-4F7F-4254-BFA9-B43A97045A7D}"/>
    <cellStyle name="Normal 2 4 5 2 4 2 3" xfId="11476" xr:uid="{710B78E0-E040-4A26-B665-F922862C10A6}"/>
    <cellStyle name="Normal 2 4 5 2 4 3" xfId="5110" xr:uid="{00000000-0005-0000-0000-000076100000}"/>
    <cellStyle name="Normal 2 4 5 2 4 3 2" xfId="13549" xr:uid="{D6A12A07-E8E0-47F6-A4C0-4F976B84AD80}"/>
    <cellStyle name="Normal 2 4 5 2 4 4" xfId="9331" xr:uid="{171C6A31-ED3E-4D09-B474-971BDE8B38C2}"/>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16107" xr:uid="{B60F4201-769A-44A9-9ECC-18D083D6EEAD}"/>
    <cellStyle name="Normal 2 4 5 2 5 2 3" xfId="11889" xr:uid="{60A50CBE-0A45-4F83-B6E1-84DBBDE7AA59}"/>
    <cellStyle name="Normal 2 4 5 2 5 3" xfId="5523" xr:uid="{00000000-0005-0000-0000-00007A100000}"/>
    <cellStyle name="Normal 2 4 5 2 5 3 2" xfId="13962" xr:uid="{CF293188-AF9D-4A26-9DD9-0B568700AC21}"/>
    <cellStyle name="Normal 2 4 5 2 5 4" xfId="9744" xr:uid="{397B9D57-7EEF-4F76-BF06-6D94B4BF7BEA}"/>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16520" xr:uid="{AD4AADBB-584A-4BA2-BA29-FEAF5DDBFF6F}"/>
    <cellStyle name="Normal 2 4 5 2 6 2 3" xfId="12302" xr:uid="{89C5CB97-E76B-40A3-A13B-F31B1CCE7AB6}"/>
    <cellStyle name="Normal 2 4 5 2 6 3" xfId="5936" xr:uid="{00000000-0005-0000-0000-00007E100000}"/>
    <cellStyle name="Normal 2 4 5 2 6 3 2" xfId="14375" xr:uid="{B32FCE69-96F9-4968-8D61-8077C0A81CF7}"/>
    <cellStyle name="Normal 2 4 5 2 6 4" xfId="10157" xr:uid="{0F75893A-FA0A-4627-8A0D-2044EA6AE9DB}"/>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16933" xr:uid="{E62E0EED-7780-486F-BB8D-94A2284C470A}"/>
    <cellStyle name="Normal 2 4 5 2 7 2 3" xfId="12715" xr:uid="{F53E91D3-8C08-42EF-827E-82032F9AD78C}"/>
    <cellStyle name="Normal 2 4 5 2 7 3" xfId="6349" xr:uid="{00000000-0005-0000-0000-000082100000}"/>
    <cellStyle name="Normal 2 4 5 2 7 3 2" xfId="14788" xr:uid="{E2C5A03D-EDEA-4BB6-9FF9-DAF01978779E}"/>
    <cellStyle name="Normal 2 4 5 2 7 4" xfId="10570" xr:uid="{54734DDE-1DC5-488B-B28D-F019170C06F4}"/>
    <cellStyle name="Normal 2 4 5 2 8" xfId="2478" xr:uid="{00000000-0005-0000-0000-000083100000}"/>
    <cellStyle name="Normal 2 4 5 2 8 2" xfId="6762" xr:uid="{00000000-0005-0000-0000-000084100000}"/>
    <cellStyle name="Normal 2 4 5 2 8 2 2" xfId="15201" xr:uid="{C2BAA8C6-9A7B-46C8-B99A-61CA469FBBF3}"/>
    <cellStyle name="Normal 2 4 5 2 8 3" xfId="10983" xr:uid="{B087B1A9-9D86-473A-95DE-50BF53D30485}"/>
    <cellStyle name="Normal 2 4 5 2 9" xfId="4696" xr:uid="{00000000-0005-0000-0000-000085100000}"/>
    <cellStyle name="Normal 2 4 5 2 9 2" xfId="13135" xr:uid="{40C2D356-2F1B-4D32-8441-86AFA9FC2EED}"/>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5699" xr:uid="{83E37007-FD21-4266-A247-45FEBA088414}"/>
    <cellStyle name="Normal 2 4 5 3 2 2 2 3" xfId="11481" xr:uid="{D42EBE9C-3A77-41EF-84C4-2031328A209F}"/>
    <cellStyle name="Normal 2 4 5 3 2 2 3" xfId="5115" xr:uid="{00000000-0005-0000-0000-00008B100000}"/>
    <cellStyle name="Normal 2 4 5 3 2 2 3 2" xfId="13554" xr:uid="{339EC995-B058-4A50-94C2-9F7FF95A2696}"/>
    <cellStyle name="Normal 2 4 5 3 2 2 4" xfId="9336" xr:uid="{FBB59DB0-DABE-43B2-9290-CC14960CA34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16112" xr:uid="{974172EC-9423-4EBC-9F50-945C454703C4}"/>
    <cellStyle name="Normal 2 4 5 3 2 3 2 3" xfId="11894" xr:uid="{0BDD48AA-ED01-442C-92D3-08FE22BC8E6B}"/>
    <cellStyle name="Normal 2 4 5 3 2 3 3" xfId="5528" xr:uid="{00000000-0005-0000-0000-00008F100000}"/>
    <cellStyle name="Normal 2 4 5 3 2 3 3 2" xfId="13967" xr:uid="{C76AD61D-E6F5-4BCF-883C-0D56A7560DD5}"/>
    <cellStyle name="Normal 2 4 5 3 2 3 4" xfId="9749" xr:uid="{AAEE6707-2E3E-4CD2-AA4C-27E955A9BB99}"/>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16525" xr:uid="{5D0B1D07-B587-4052-BF3B-2E9E015C6DB4}"/>
    <cellStyle name="Normal 2 4 5 3 2 4 2 3" xfId="12307" xr:uid="{51B0BB02-1B96-4FED-BFDD-3F92D444127F}"/>
    <cellStyle name="Normal 2 4 5 3 2 4 3" xfId="5941" xr:uid="{00000000-0005-0000-0000-000093100000}"/>
    <cellStyle name="Normal 2 4 5 3 2 4 3 2" xfId="14380" xr:uid="{2BE6A215-CD0F-4F62-AFCD-F8E53B35D077}"/>
    <cellStyle name="Normal 2 4 5 3 2 4 4" xfId="10162" xr:uid="{59564E99-EB52-4359-860F-CC78967254B8}"/>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16938" xr:uid="{869E65B3-F440-4EA5-BBD7-80230D4CEA7E}"/>
    <cellStyle name="Normal 2 4 5 3 2 5 2 3" xfId="12720" xr:uid="{95AEE3A2-5680-4636-B0A7-A2CF3E600FEB}"/>
    <cellStyle name="Normal 2 4 5 3 2 5 3" xfId="6354" xr:uid="{00000000-0005-0000-0000-000097100000}"/>
    <cellStyle name="Normal 2 4 5 3 2 5 3 2" xfId="14793" xr:uid="{52267C46-C9B7-4958-B082-46789794F557}"/>
    <cellStyle name="Normal 2 4 5 3 2 5 4" xfId="10575" xr:uid="{203ED473-1D9E-420D-8F51-56B6B2061DC0}"/>
    <cellStyle name="Normal 2 4 5 3 2 6" xfId="2483" xr:uid="{00000000-0005-0000-0000-000098100000}"/>
    <cellStyle name="Normal 2 4 5 3 2 6 2" xfId="6767" xr:uid="{00000000-0005-0000-0000-000099100000}"/>
    <cellStyle name="Normal 2 4 5 3 2 6 2 2" xfId="15206" xr:uid="{D9B2E5F9-A125-4B02-A45F-ABE8920C05B1}"/>
    <cellStyle name="Normal 2 4 5 3 2 6 3" xfId="10988" xr:uid="{9672E273-BA89-423A-A4F2-B28610F4D2F4}"/>
    <cellStyle name="Normal 2 4 5 3 2 7" xfId="4701" xr:uid="{00000000-0005-0000-0000-00009A100000}"/>
    <cellStyle name="Normal 2 4 5 3 2 7 2" xfId="13140" xr:uid="{203C3C68-F89E-46E5-ADED-B9B77F3AE28E}"/>
    <cellStyle name="Normal 2 4 5 3 2 8" xfId="8922" xr:uid="{F234E077-8C3B-4D63-AAA1-F629D62EDA40}"/>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5698" xr:uid="{BE750AAA-FBC3-4148-980E-B58B189B05C0}"/>
    <cellStyle name="Normal 2 4 5 3 3 2 3" xfId="11480" xr:uid="{4881A56A-1B71-4D0B-9551-C9397EBECCCA}"/>
    <cellStyle name="Normal 2 4 5 3 3 3" xfId="5114" xr:uid="{00000000-0005-0000-0000-00009E100000}"/>
    <cellStyle name="Normal 2 4 5 3 3 3 2" xfId="13553" xr:uid="{EC0EBAE6-769A-42D8-8D67-0A0A94276E41}"/>
    <cellStyle name="Normal 2 4 5 3 3 4" xfId="9335" xr:uid="{BE86513F-8AA3-4924-8A07-6C2DC8C7BD23}"/>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16111" xr:uid="{40B15691-95D4-49DF-9ADC-E018B5F95EEA}"/>
    <cellStyle name="Normal 2 4 5 3 4 2 3" xfId="11893" xr:uid="{E1E17F05-A481-4A38-AC46-C9267F56C0CD}"/>
    <cellStyle name="Normal 2 4 5 3 4 3" xfId="5527" xr:uid="{00000000-0005-0000-0000-0000A2100000}"/>
    <cellStyle name="Normal 2 4 5 3 4 3 2" xfId="13966" xr:uid="{C5045805-F390-4914-906F-2D3702435284}"/>
    <cellStyle name="Normal 2 4 5 3 4 4" xfId="9748" xr:uid="{37DC40CF-DEC8-4C90-A802-DAB62A8EDC9D}"/>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16524" xr:uid="{0ADAD84C-BB96-4AA0-BBF3-8EAF26F86C28}"/>
    <cellStyle name="Normal 2 4 5 3 5 2 3" xfId="12306" xr:uid="{431A7ACD-CD5C-4BEA-91A2-E1B337F03ABE}"/>
    <cellStyle name="Normal 2 4 5 3 5 3" xfId="5940" xr:uid="{00000000-0005-0000-0000-0000A6100000}"/>
    <cellStyle name="Normal 2 4 5 3 5 3 2" xfId="14379" xr:uid="{E1D0AC28-7B46-4133-9D81-058418D541BF}"/>
    <cellStyle name="Normal 2 4 5 3 5 4" xfId="10161" xr:uid="{4E734B27-D510-4417-AD2D-93306515A5E9}"/>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16937" xr:uid="{2280EDBD-973D-45C1-82D8-C3378F7F2166}"/>
    <cellStyle name="Normal 2 4 5 3 6 2 3" xfId="12719" xr:uid="{36905A6B-D9CF-4379-97C8-504CDDC1D9DC}"/>
    <cellStyle name="Normal 2 4 5 3 6 3" xfId="6353" xr:uid="{00000000-0005-0000-0000-0000AA100000}"/>
    <cellStyle name="Normal 2 4 5 3 6 3 2" xfId="14792" xr:uid="{DA12069A-3FC1-4F9E-BE98-A96628FAE0D9}"/>
    <cellStyle name="Normal 2 4 5 3 6 4" xfId="10574" xr:uid="{9E08C95E-B72E-4FA1-AB8A-BA693AD55A9F}"/>
    <cellStyle name="Normal 2 4 5 3 7" xfId="2482" xr:uid="{00000000-0005-0000-0000-0000AB100000}"/>
    <cellStyle name="Normal 2 4 5 3 7 2" xfId="6766" xr:uid="{00000000-0005-0000-0000-0000AC100000}"/>
    <cellStyle name="Normal 2 4 5 3 7 2 2" xfId="15205" xr:uid="{8DA06095-2889-43DB-9208-22FC89FC65FB}"/>
    <cellStyle name="Normal 2 4 5 3 7 3" xfId="10987" xr:uid="{A4189995-438B-4A39-ACDF-BDB1AAC476B2}"/>
    <cellStyle name="Normal 2 4 5 3 8" xfId="4700" xr:uid="{00000000-0005-0000-0000-0000AD100000}"/>
    <cellStyle name="Normal 2 4 5 3 8 2" xfId="13139" xr:uid="{8B644548-ADE7-4F04-9065-F5D7745902A4}"/>
    <cellStyle name="Normal 2 4 5 3 9" xfId="8921" xr:uid="{A0E5E3CD-8FCC-4128-A5A4-C221B4376382}"/>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5700" xr:uid="{61325C48-AFFE-4086-89AB-5BA53DF176C1}"/>
    <cellStyle name="Normal 2 4 5 4 2 2 3" xfId="11482" xr:uid="{EF7DB8BE-2AB0-47E6-BC4D-9615AF06722A}"/>
    <cellStyle name="Normal 2 4 5 4 2 3" xfId="5116" xr:uid="{00000000-0005-0000-0000-0000B2100000}"/>
    <cellStyle name="Normal 2 4 5 4 2 3 2" xfId="13555" xr:uid="{5F1107CF-A6FF-4B12-8542-AEC08006236A}"/>
    <cellStyle name="Normal 2 4 5 4 2 4" xfId="9337" xr:uid="{62188B64-E2FA-43A4-9FF1-835A22471C27}"/>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16113" xr:uid="{39561215-C13A-4E32-A440-8EBA3EAFD5C9}"/>
    <cellStyle name="Normal 2 4 5 4 3 2 3" xfId="11895" xr:uid="{9F82592A-5FA6-4DCB-9F97-C9F0A0340C96}"/>
    <cellStyle name="Normal 2 4 5 4 3 3" xfId="5529" xr:uid="{00000000-0005-0000-0000-0000B6100000}"/>
    <cellStyle name="Normal 2 4 5 4 3 3 2" xfId="13968" xr:uid="{6F80E695-A11F-4457-83C3-3F0DE6FAD16D}"/>
    <cellStyle name="Normal 2 4 5 4 3 4" xfId="9750" xr:uid="{71014922-2259-44EE-9C60-396C24496E40}"/>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16526" xr:uid="{A52F1F7E-4FDC-42A1-97F5-F137410C0B37}"/>
    <cellStyle name="Normal 2 4 5 4 4 2 3" xfId="12308" xr:uid="{E3415F85-7D72-4660-85E6-BD66E9C9F97E}"/>
    <cellStyle name="Normal 2 4 5 4 4 3" xfId="5942" xr:uid="{00000000-0005-0000-0000-0000BA100000}"/>
    <cellStyle name="Normal 2 4 5 4 4 3 2" xfId="14381" xr:uid="{16B764BB-DBAD-49F2-B5BB-4AF88A4CF62E}"/>
    <cellStyle name="Normal 2 4 5 4 4 4" xfId="10163" xr:uid="{01BE763D-607C-40E5-85D4-FCEC42C98191}"/>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16939" xr:uid="{6646A5D5-C878-463F-84CA-1DF64C98357F}"/>
    <cellStyle name="Normal 2 4 5 4 5 2 3" xfId="12721" xr:uid="{69927D90-8AB7-4CDD-8D76-94AEE4C3C673}"/>
    <cellStyle name="Normal 2 4 5 4 5 3" xfId="6355" xr:uid="{00000000-0005-0000-0000-0000BE100000}"/>
    <cellStyle name="Normal 2 4 5 4 5 3 2" xfId="14794" xr:uid="{FA4F190C-A02F-432E-AF46-6F912116EB14}"/>
    <cellStyle name="Normal 2 4 5 4 5 4" xfId="10576" xr:uid="{61F87A49-A10D-4D33-A3E2-AD9A9E4A9193}"/>
    <cellStyle name="Normal 2 4 5 4 6" xfId="2484" xr:uid="{00000000-0005-0000-0000-0000BF100000}"/>
    <cellStyle name="Normal 2 4 5 4 6 2" xfId="6768" xr:uid="{00000000-0005-0000-0000-0000C0100000}"/>
    <cellStyle name="Normal 2 4 5 4 6 2 2" xfId="15207" xr:uid="{415BE0CF-C378-4D18-A940-3CC1919868A2}"/>
    <cellStyle name="Normal 2 4 5 4 6 3" xfId="10989" xr:uid="{E6B7C9E9-67A0-4F54-A3B0-89A465189892}"/>
    <cellStyle name="Normal 2 4 5 4 7" xfId="4702" xr:uid="{00000000-0005-0000-0000-0000C1100000}"/>
    <cellStyle name="Normal 2 4 5 4 7 2" xfId="13141" xr:uid="{DA1D43F3-FB9A-428C-AA22-E15A9516F1F6}"/>
    <cellStyle name="Normal 2 4 5 4 8" xfId="8923" xr:uid="{6768446A-C238-4E26-B238-F4000EE20426}"/>
    <cellStyle name="Normal 2 4 5 5" xfId="792" xr:uid="{00000000-0005-0000-0000-0000C2100000}"/>
    <cellStyle name="Normal 2 4 5 5 2" xfId="3031" xr:uid="{00000000-0005-0000-0000-0000C3100000}"/>
    <cellStyle name="Normal 2 4 5 5 2 2" xfId="7254" xr:uid="{00000000-0005-0000-0000-0000C4100000}"/>
    <cellStyle name="Normal 2 4 5 5 2 2 2" xfId="15693" xr:uid="{5D4206A8-36B3-4A1B-92C6-CB91A9F55B6D}"/>
    <cellStyle name="Normal 2 4 5 5 2 3" xfId="11475" xr:uid="{DA9AA501-F974-4CE9-9312-BBB0494DB702}"/>
    <cellStyle name="Normal 2 4 5 5 3" xfId="5109" xr:uid="{00000000-0005-0000-0000-0000C5100000}"/>
    <cellStyle name="Normal 2 4 5 5 3 2" xfId="13548" xr:uid="{323A3E34-03B6-44FE-9B11-6C75076B4AE6}"/>
    <cellStyle name="Normal 2 4 5 5 4" xfId="9330" xr:uid="{C6EC618A-CA24-484A-96AB-258914EFDCA0}"/>
    <cellStyle name="Normal 2 4 5 6" xfId="1214" xr:uid="{00000000-0005-0000-0000-0000C6100000}"/>
    <cellStyle name="Normal 2 4 5 6 2" xfId="3444" xr:uid="{00000000-0005-0000-0000-0000C7100000}"/>
    <cellStyle name="Normal 2 4 5 6 2 2" xfId="7667" xr:uid="{00000000-0005-0000-0000-0000C8100000}"/>
    <cellStyle name="Normal 2 4 5 6 2 2 2" xfId="16106" xr:uid="{F07136BC-59BE-47FF-B03F-0CC50F48B656}"/>
    <cellStyle name="Normal 2 4 5 6 2 3" xfId="11888" xr:uid="{6E458D63-2253-4305-B7B3-7306F2F6105C}"/>
    <cellStyle name="Normal 2 4 5 6 3" xfId="5522" xr:uid="{00000000-0005-0000-0000-0000C9100000}"/>
    <cellStyle name="Normal 2 4 5 6 3 2" xfId="13961" xr:uid="{E5F70806-75D7-478B-B1F4-4631F62973FF}"/>
    <cellStyle name="Normal 2 4 5 6 4" xfId="9743" xr:uid="{41E3E0D2-94A4-4B02-9BC3-900E549ADB59}"/>
    <cellStyle name="Normal 2 4 5 7" xfId="1627" xr:uid="{00000000-0005-0000-0000-0000CA100000}"/>
    <cellStyle name="Normal 2 4 5 7 2" xfId="3857" xr:uid="{00000000-0005-0000-0000-0000CB100000}"/>
    <cellStyle name="Normal 2 4 5 7 2 2" xfId="8080" xr:uid="{00000000-0005-0000-0000-0000CC100000}"/>
    <cellStyle name="Normal 2 4 5 7 2 2 2" xfId="16519" xr:uid="{D37E1F86-66CF-46B3-8C44-5AC49AD4AA1A}"/>
    <cellStyle name="Normal 2 4 5 7 2 3" xfId="12301" xr:uid="{CF066650-75B0-4A75-BF2A-AB317F543891}"/>
    <cellStyle name="Normal 2 4 5 7 3" xfId="5935" xr:uid="{00000000-0005-0000-0000-0000CD100000}"/>
    <cellStyle name="Normal 2 4 5 7 3 2" xfId="14374" xr:uid="{D99DB2E4-DB47-45AF-873C-4AF81DC8914B}"/>
    <cellStyle name="Normal 2 4 5 7 4" xfId="10156" xr:uid="{2F537DF2-5D5A-4C4D-83EA-0C8586E54DBF}"/>
    <cellStyle name="Normal 2 4 5 8" xfId="2041" xr:uid="{00000000-0005-0000-0000-0000CE100000}"/>
    <cellStyle name="Normal 2 4 5 8 2" xfId="4270" xr:uid="{00000000-0005-0000-0000-0000CF100000}"/>
    <cellStyle name="Normal 2 4 5 8 2 2" xfId="8493" xr:uid="{00000000-0005-0000-0000-0000D0100000}"/>
    <cellStyle name="Normal 2 4 5 8 2 2 2" xfId="16932" xr:uid="{CFCD5FC1-D3BC-435C-B856-715EDA3BE0EB}"/>
    <cellStyle name="Normal 2 4 5 8 2 3" xfId="12714" xr:uid="{8D5287BF-B9A5-47CC-8CA5-3801A2B20D1D}"/>
    <cellStyle name="Normal 2 4 5 8 3" xfId="6348" xr:uid="{00000000-0005-0000-0000-0000D1100000}"/>
    <cellStyle name="Normal 2 4 5 8 3 2" xfId="14787" xr:uid="{49DAAF0D-D874-46FE-8438-46CE3081EBDD}"/>
    <cellStyle name="Normal 2 4 5 8 4" xfId="10569" xr:uid="{9D6820E2-06E0-4751-84D8-F92E8E1E5E17}"/>
    <cellStyle name="Normal 2 4 5 9" xfId="2477" xr:uid="{00000000-0005-0000-0000-0000D2100000}"/>
    <cellStyle name="Normal 2 4 5 9 2" xfId="6761" xr:uid="{00000000-0005-0000-0000-0000D3100000}"/>
    <cellStyle name="Normal 2 4 5 9 2 2" xfId="15200" xr:uid="{A6D31970-95E8-4EEF-AA74-579FCF769979}"/>
    <cellStyle name="Normal 2 4 5 9 3" xfId="10982" xr:uid="{BFA81C8F-F557-4D66-9AEF-84969D64485D}"/>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5702" xr:uid="{CFEFCBD8-CF0A-4076-9C3F-06EF2E17F421}"/>
    <cellStyle name="Normal 2 4 7 2 2 2 3" xfId="11484" xr:uid="{57C51306-68BB-4E35-AD45-175802455707}"/>
    <cellStyle name="Normal 2 4 7 2 2 3" xfId="5118" xr:uid="{00000000-0005-0000-0000-0000DA100000}"/>
    <cellStyle name="Normal 2 4 7 2 2 3 2" xfId="13557" xr:uid="{42D12A05-96E6-4718-8E8F-D4D20308BEE5}"/>
    <cellStyle name="Normal 2 4 7 2 2 4" xfId="9339" xr:uid="{F949C794-D01C-4921-BF74-EA600CA0C5AE}"/>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16115" xr:uid="{5F9F249C-00BA-4596-AAE6-702BD8F01784}"/>
    <cellStyle name="Normal 2 4 7 2 3 2 3" xfId="11897" xr:uid="{700E5EEF-559D-474E-BBA4-3DFD1F7DFBCF}"/>
    <cellStyle name="Normal 2 4 7 2 3 3" xfId="5531" xr:uid="{00000000-0005-0000-0000-0000DE100000}"/>
    <cellStyle name="Normal 2 4 7 2 3 3 2" xfId="13970" xr:uid="{F867569B-C635-4BCA-AEE3-DC761392508B}"/>
    <cellStyle name="Normal 2 4 7 2 3 4" xfId="9752" xr:uid="{9B46E043-E135-46D0-8D2C-9CA3C449F883}"/>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16528" xr:uid="{089F81C4-DD4A-4360-B7D0-76C0770CE093}"/>
    <cellStyle name="Normal 2 4 7 2 4 2 3" xfId="12310" xr:uid="{4868B578-9E06-466C-A214-F227C12978F0}"/>
    <cellStyle name="Normal 2 4 7 2 4 3" xfId="5944" xr:uid="{00000000-0005-0000-0000-0000E2100000}"/>
    <cellStyle name="Normal 2 4 7 2 4 3 2" xfId="14383" xr:uid="{15CEEA9F-666C-419E-A1DD-1F5848BDBAD0}"/>
    <cellStyle name="Normal 2 4 7 2 4 4" xfId="10165" xr:uid="{39476010-4170-48B6-A4BB-432BB2A4924E}"/>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16941" xr:uid="{5EFC8265-B401-44A8-A7AB-5F1B473DBD04}"/>
    <cellStyle name="Normal 2 4 7 2 5 2 3" xfId="12723" xr:uid="{06DB9139-8E28-49A6-AE73-603C4010641A}"/>
    <cellStyle name="Normal 2 4 7 2 5 3" xfId="6357" xr:uid="{00000000-0005-0000-0000-0000E6100000}"/>
    <cellStyle name="Normal 2 4 7 2 5 3 2" xfId="14796" xr:uid="{BD681AF9-8BDE-4222-A2D7-B9DED4DBC6EB}"/>
    <cellStyle name="Normal 2 4 7 2 5 4" xfId="10578" xr:uid="{72F1871C-316B-4B25-95BC-AD0A161588E8}"/>
    <cellStyle name="Normal 2 4 7 2 6" xfId="2486" xr:uid="{00000000-0005-0000-0000-0000E7100000}"/>
    <cellStyle name="Normal 2 4 7 2 6 2" xfId="6770" xr:uid="{00000000-0005-0000-0000-0000E8100000}"/>
    <cellStyle name="Normal 2 4 7 2 6 2 2" xfId="15209" xr:uid="{80C057F4-E569-49F1-9264-2AFE3C67F396}"/>
    <cellStyle name="Normal 2 4 7 2 6 3" xfId="10991" xr:uid="{A5082462-2B9A-4487-82E8-192F7BE99007}"/>
    <cellStyle name="Normal 2 4 7 2 7" xfId="4704" xr:uid="{00000000-0005-0000-0000-0000E9100000}"/>
    <cellStyle name="Normal 2 4 7 2 7 2" xfId="13143" xr:uid="{4C6DF737-277D-40A8-A3B0-A7B5DDDA1E65}"/>
    <cellStyle name="Normal 2 4 7 2 8" xfId="8925" xr:uid="{AA43238C-AF67-4676-860B-B291EE210761}"/>
    <cellStyle name="Normal 2 4 7 3" xfId="800" xr:uid="{00000000-0005-0000-0000-0000EA100000}"/>
    <cellStyle name="Normal 2 4 7 3 2" xfId="3039" xr:uid="{00000000-0005-0000-0000-0000EB100000}"/>
    <cellStyle name="Normal 2 4 7 3 2 2" xfId="7262" xr:uid="{00000000-0005-0000-0000-0000EC100000}"/>
    <cellStyle name="Normal 2 4 7 3 2 2 2" xfId="15701" xr:uid="{79734772-03E7-4F4F-82E1-897931DA0C6B}"/>
    <cellStyle name="Normal 2 4 7 3 2 3" xfId="11483" xr:uid="{FCAA8E87-FB20-4181-935A-225D5E1D54F2}"/>
    <cellStyle name="Normal 2 4 7 3 3" xfId="5117" xr:uid="{00000000-0005-0000-0000-0000ED100000}"/>
    <cellStyle name="Normal 2 4 7 3 3 2" xfId="13556" xr:uid="{F8E219C1-2B0A-467E-B6C6-EEE098EDB44E}"/>
    <cellStyle name="Normal 2 4 7 3 4" xfId="9338" xr:uid="{47296EE8-2772-4E49-8665-903F81F1CBD6}"/>
    <cellStyle name="Normal 2 4 7 4" xfId="1222" xr:uid="{00000000-0005-0000-0000-0000EE100000}"/>
    <cellStyle name="Normal 2 4 7 4 2" xfId="3452" xr:uid="{00000000-0005-0000-0000-0000EF100000}"/>
    <cellStyle name="Normal 2 4 7 4 2 2" xfId="7675" xr:uid="{00000000-0005-0000-0000-0000F0100000}"/>
    <cellStyle name="Normal 2 4 7 4 2 2 2" xfId="16114" xr:uid="{6B279077-8960-41DF-B143-31BDB030D58E}"/>
    <cellStyle name="Normal 2 4 7 4 2 3" xfId="11896" xr:uid="{0161EB4C-2153-4746-AC2E-65DF9D2A1FD8}"/>
    <cellStyle name="Normal 2 4 7 4 3" xfId="5530" xr:uid="{00000000-0005-0000-0000-0000F1100000}"/>
    <cellStyle name="Normal 2 4 7 4 3 2" xfId="13969" xr:uid="{4BC5E3AD-40B7-4213-95EF-52D533576883}"/>
    <cellStyle name="Normal 2 4 7 4 4" xfId="9751" xr:uid="{3F442819-F66F-4F26-97F4-5E80DBCE5D65}"/>
    <cellStyle name="Normal 2 4 7 5" xfId="1635" xr:uid="{00000000-0005-0000-0000-0000F2100000}"/>
    <cellStyle name="Normal 2 4 7 5 2" xfId="3865" xr:uid="{00000000-0005-0000-0000-0000F3100000}"/>
    <cellStyle name="Normal 2 4 7 5 2 2" xfId="8088" xr:uid="{00000000-0005-0000-0000-0000F4100000}"/>
    <cellStyle name="Normal 2 4 7 5 2 2 2" xfId="16527" xr:uid="{437ED48A-839B-4494-A72F-A356DBB108CB}"/>
    <cellStyle name="Normal 2 4 7 5 2 3" xfId="12309" xr:uid="{30216AFC-B98E-473F-A9A2-AA1815D7A4C5}"/>
    <cellStyle name="Normal 2 4 7 5 3" xfId="5943" xr:uid="{00000000-0005-0000-0000-0000F5100000}"/>
    <cellStyle name="Normal 2 4 7 5 3 2" xfId="14382" xr:uid="{3C90670C-165F-4B1B-8E92-262C79587D9E}"/>
    <cellStyle name="Normal 2 4 7 5 4" xfId="10164" xr:uid="{C0FD7074-4775-43F8-8A5E-AD42CD0E2DDB}"/>
    <cellStyle name="Normal 2 4 7 6" xfId="2049" xr:uid="{00000000-0005-0000-0000-0000F6100000}"/>
    <cellStyle name="Normal 2 4 7 6 2" xfId="4278" xr:uid="{00000000-0005-0000-0000-0000F7100000}"/>
    <cellStyle name="Normal 2 4 7 6 2 2" xfId="8501" xr:uid="{00000000-0005-0000-0000-0000F8100000}"/>
    <cellStyle name="Normal 2 4 7 6 2 2 2" xfId="16940" xr:uid="{07DD809D-4DC1-48B1-9712-1F643F4655CE}"/>
    <cellStyle name="Normal 2 4 7 6 2 3" xfId="12722" xr:uid="{E8E83C10-592D-47B9-B75D-B80EC4E66396}"/>
    <cellStyle name="Normal 2 4 7 6 3" xfId="6356" xr:uid="{00000000-0005-0000-0000-0000F9100000}"/>
    <cellStyle name="Normal 2 4 7 6 3 2" xfId="14795" xr:uid="{A5CE7FD1-AA84-454C-86D0-E368D2BE6E88}"/>
    <cellStyle name="Normal 2 4 7 6 4" xfId="10577" xr:uid="{C83272D5-CBFC-4D86-BDDF-2BF812CCC7A0}"/>
    <cellStyle name="Normal 2 4 7 7" xfId="2485" xr:uid="{00000000-0005-0000-0000-0000FA100000}"/>
    <cellStyle name="Normal 2 4 7 7 2" xfId="6769" xr:uid="{00000000-0005-0000-0000-0000FB100000}"/>
    <cellStyle name="Normal 2 4 7 7 2 2" xfId="15208" xr:uid="{CE2671EB-A5A8-4360-9F8B-2E9772974B34}"/>
    <cellStyle name="Normal 2 4 7 7 3" xfId="10990" xr:uid="{6763CB73-5D38-47B8-9727-7343FEAEF382}"/>
    <cellStyle name="Normal 2 4 7 8" xfId="4703" xr:uid="{00000000-0005-0000-0000-0000FC100000}"/>
    <cellStyle name="Normal 2 4 7 8 2" xfId="13142" xr:uid="{4B0987C6-08E9-429E-932A-D782DCB1396F}"/>
    <cellStyle name="Normal 2 4 7 9" xfId="8924" xr:uid="{BF6AA810-5568-4D85-80C4-D9A87B6DFEEA}"/>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15703" xr:uid="{88C5462F-898F-434E-B211-2213C84EAA41}"/>
    <cellStyle name="Normal 2 4 8 2 2 3" xfId="11485" xr:uid="{A4B8DFC4-EBCF-4F8C-A9F2-B53D5157D97C}"/>
    <cellStyle name="Normal 2 4 8 2 3" xfId="5119" xr:uid="{00000000-0005-0000-0000-000001110000}"/>
    <cellStyle name="Normal 2 4 8 2 3 2" xfId="13558" xr:uid="{1BB5F806-9DDC-40F4-B185-A858462B9E92}"/>
    <cellStyle name="Normal 2 4 8 2 4" xfId="9340" xr:uid="{CBDF68DA-AF82-45C6-8B00-6B53D53EA812}"/>
    <cellStyle name="Normal 2 4 8 3" xfId="1224" xr:uid="{00000000-0005-0000-0000-000002110000}"/>
    <cellStyle name="Normal 2 4 8 3 2" xfId="3454" xr:uid="{00000000-0005-0000-0000-000003110000}"/>
    <cellStyle name="Normal 2 4 8 3 2 2" xfId="7677" xr:uid="{00000000-0005-0000-0000-000004110000}"/>
    <cellStyle name="Normal 2 4 8 3 2 2 2" xfId="16116" xr:uid="{0EAD9CED-255D-4708-86DF-A79D8B62A638}"/>
    <cellStyle name="Normal 2 4 8 3 2 3" xfId="11898" xr:uid="{F912C7DB-E74F-49AF-86CF-DA6821C9B6E0}"/>
    <cellStyle name="Normal 2 4 8 3 3" xfId="5532" xr:uid="{00000000-0005-0000-0000-000005110000}"/>
    <cellStyle name="Normal 2 4 8 3 3 2" xfId="13971" xr:uid="{EAC19471-A035-4130-A7FF-B09394670C80}"/>
    <cellStyle name="Normal 2 4 8 3 4" xfId="9753" xr:uid="{E3F8682D-7538-4009-8C5D-80942159B681}"/>
    <cellStyle name="Normal 2 4 8 4" xfId="1637" xr:uid="{00000000-0005-0000-0000-000006110000}"/>
    <cellStyle name="Normal 2 4 8 4 2" xfId="3867" xr:uid="{00000000-0005-0000-0000-000007110000}"/>
    <cellStyle name="Normal 2 4 8 4 2 2" xfId="8090" xr:uid="{00000000-0005-0000-0000-000008110000}"/>
    <cellStyle name="Normal 2 4 8 4 2 2 2" xfId="16529" xr:uid="{0945768D-9DFD-450C-9DD9-241D90948C41}"/>
    <cellStyle name="Normal 2 4 8 4 2 3" xfId="12311" xr:uid="{5C047815-AFB3-4EED-A4B6-7BDB08535715}"/>
    <cellStyle name="Normal 2 4 8 4 3" xfId="5945" xr:uid="{00000000-0005-0000-0000-000009110000}"/>
    <cellStyle name="Normal 2 4 8 4 3 2" xfId="14384" xr:uid="{AC2E73BD-63C4-4628-A56B-8B5EC126BE2A}"/>
    <cellStyle name="Normal 2 4 8 4 4" xfId="10166" xr:uid="{AE1AF746-35F2-4BFA-8BE5-81EC44E1B42B}"/>
    <cellStyle name="Normal 2 4 8 5" xfId="2051" xr:uid="{00000000-0005-0000-0000-00000A110000}"/>
    <cellStyle name="Normal 2 4 8 5 2" xfId="4280" xr:uid="{00000000-0005-0000-0000-00000B110000}"/>
    <cellStyle name="Normal 2 4 8 5 2 2" xfId="8503" xr:uid="{00000000-0005-0000-0000-00000C110000}"/>
    <cellStyle name="Normal 2 4 8 5 2 2 2" xfId="16942" xr:uid="{BF984F97-150A-4F28-AFE8-710BB9CC6CF1}"/>
    <cellStyle name="Normal 2 4 8 5 2 3" xfId="12724" xr:uid="{D02F93F8-AA7F-47A7-9EB2-0432990E35EE}"/>
    <cellStyle name="Normal 2 4 8 5 3" xfId="6358" xr:uid="{00000000-0005-0000-0000-00000D110000}"/>
    <cellStyle name="Normal 2 4 8 5 3 2" xfId="14797" xr:uid="{3661A68D-7A61-493C-A8BF-3A8A9D93E341}"/>
    <cellStyle name="Normal 2 4 8 5 4" xfId="10579" xr:uid="{5B4B4D96-6276-4473-9E16-27FBCDB10F34}"/>
    <cellStyle name="Normal 2 4 8 6" xfId="2487" xr:uid="{00000000-0005-0000-0000-00000E110000}"/>
    <cellStyle name="Normal 2 4 8 6 2" xfId="6771" xr:uid="{00000000-0005-0000-0000-00000F110000}"/>
    <cellStyle name="Normal 2 4 8 6 2 2" xfId="15210" xr:uid="{15A927B2-F629-48B5-89FF-5F79CAFD97EB}"/>
    <cellStyle name="Normal 2 4 8 6 3" xfId="10992" xr:uid="{64BE8F2B-5A9C-448E-9173-052226855942}"/>
    <cellStyle name="Normal 2 4 8 7" xfId="4705" xr:uid="{00000000-0005-0000-0000-000010110000}"/>
    <cellStyle name="Normal 2 4 8 7 2" xfId="13144" xr:uid="{DE4DF517-EF29-40A1-9828-7D0871B44C0F}"/>
    <cellStyle name="Normal 2 4 8 8" xfId="8926" xr:uid="{12D028A9-29B0-46E5-8FFE-03981732A5E0}"/>
    <cellStyle name="Normal 2 5" xfId="315" xr:uid="{00000000-0005-0000-0000-000011110000}"/>
    <cellStyle name="Normal 2 5 10" xfId="4706" xr:uid="{00000000-0005-0000-0000-000012110000}"/>
    <cellStyle name="Normal 2 5 10 2" xfId="13145" xr:uid="{121D7492-C463-4DBF-A360-54B33CA6BAEA}"/>
    <cellStyle name="Normal 2 5 11" xfId="8927" xr:uid="{D940979B-EA23-4C40-96A4-6587EB537566}"/>
    <cellStyle name="Normal 2 5 2" xfId="316" xr:uid="{00000000-0005-0000-0000-000013110000}"/>
    <cellStyle name="Normal 2 5 3" xfId="317" xr:uid="{00000000-0005-0000-0000-000014110000}"/>
    <cellStyle name="Normal 2 5 4" xfId="318" xr:uid="{00000000-0005-0000-0000-000015110000}"/>
    <cellStyle name="Normal 2 5 4 10" xfId="8928" xr:uid="{3015C85B-3F65-4BD9-85E9-F99043B52AFB}"/>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5707" xr:uid="{F2BAFABF-E682-4C0E-9F1E-25FC4AEE415A}"/>
    <cellStyle name="Normal 2 5 4 2 2 2 2 3" xfId="11489" xr:uid="{D6E17EB9-E868-4487-91BB-E06BF05F08D7}"/>
    <cellStyle name="Normal 2 5 4 2 2 2 3" xfId="5123" xr:uid="{00000000-0005-0000-0000-00001B110000}"/>
    <cellStyle name="Normal 2 5 4 2 2 2 3 2" xfId="13562" xr:uid="{D6B8E8AE-D1F4-4E7B-B4FE-1F430E7B03C6}"/>
    <cellStyle name="Normal 2 5 4 2 2 2 4" xfId="9344" xr:uid="{E6E938D2-B2B3-458F-A7B8-287B82427DBC}"/>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16120" xr:uid="{3D7A355B-E48C-4883-83C6-6E350830CC59}"/>
    <cellStyle name="Normal 2 5 4 2 2 3 2 3" xfId="11902" xr:uid="{7A8F17F2-0919-4A1E-963A-301F6C1AB749}"/>
    <cellStyle name="Normal 2 5 4 2 2 3 3" xfId="5536" xr:uid="{00000000-0005-0000-0000-00001F110000}"/>
    <cellStyle name="Normal 2 5 4 2 2 3 3 2" xfId="13975" xr:uid="{AB78963A-69FB-4222-BCC5-57DD20ED0A27}"/>
    <cellStyle name="Normal 2 5 4 2 2 3 4" xfId="9757" xr:uid="{51A8D6D8-3841-417D-BB23-84EDF5060247}"/>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16533" xr:uid="{12B68037-53A6-4069-BB4C-1BC192101141}"/>
    <cellStyle name="Normal 2 5 4 2 2 4 2 3" xfId="12315" xr:uid="{4E254AF2-5697-40DF-B392-52F68E63B260}"/>
    <cellStyle name="Normal 2 5 4 2 2 4 3" xfId="5949" xr:uid="{00000000-0005-0000-0000-000023110000}"/>
    <cellStyle name="Normal 2 5 4 2 2 4 3 2" xfId="14388" xr:uid="{8E567135-F7EC-4463-BD9D-81BEABC3FE97}"/>
    <cellStyle name="Normal 2 5 4 2 2 4 4" xfId="10170" xr:uid="{9C3F6D80-BB85-4ED5-832B-3D5988162F88}"/>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16946" xr:uid="{A4D53E8F-4856-4BD9-996A-79A7AF43AEA5}"/>
    <cellStyle name="Normal 2 5 4 2 2 5 2 3" xfId="12728" xr:uid="{A916AAA3-1D9F-4DA4-8E62-A72E878CEEAB}"/>
    <cellStyle name="Normal 2 5 4 2 2 5 3" xfId="6362" xr:uid="{00000000-0005-0000-0000-000027110000}"/>
    <cellStyle name="Normal 2 5 4 2 2 5 3 2" xfId="14801" xr:uid="{90626827-1F84-4D41-B47A-DCFC9833D9E3}"/>
    <cellStyle name="Normal 2 5 4 2 2 5 4" xfId="10583" xr:uid="{BA98B993-4773-4863-8D87-CC74819ABB80}"/>
    <cellStyle name="Normal 2 5 4 2 2 6" xfId="2491" xr:uid="{00000000-0005-0000-0000-000028110000}"/>
    <cellStyle name="Normal 2 5 4 2 2 6 2" xfId="6775" xr:uid="{00000000-0005-0000-0000-000029110000}"/>
    <cellStyle name="Normal 2 5 4 2 2 6 2 2" xfId="15214" xr:uid="{2747A2A4-530A-45F9-B0FB-D368898E9355}"/>
    <cellStyle name="Normal 2 5 4 2 2 6 3" xfId="10996" xr:uid="{79794166-8FDE-483A-AD36-005737D2D001}"/>
    <cellStyle name="Normal 2 5 4 2 2 7" xfId="4709" xr:uid="{00000000-0005-0000-0000-00002A110000}"/>
    <cellStyle name="Normal 2 5 4 2 2 7 2" xfId="13148" xr:uid="{4C0CE307-EDDB-4DD4-B285-572A6D6F50E0}"/>
    <cellStyle name="Normal 2 5 4 2 2 8" xfId="8930" xr:uid="{2FB5C198-C9F1-494B-8FB4-432D8EF4D683}"/>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5706" xr:uid="{B9EF7CA4-1B6B-43A8-83CF-545A1BB82136}"/>
    <cellStyle name="Normal 2 5 4 2 3 2 3" xfId="11488" xr:uid="{EEF81A9A-C07B-4994-960B-026711678944}"/>
    <cellStyle name="Normal 2 5 4 2 3 3" xfId="5122" xr:uid="{00000000-0005-0000-0000-00002E110000}"/>
    <cellStyle name="Normal 2 5 4 2 3 3 2" xfId="13561" xr:uid="{09D84896-A68D-4384-A2A4-54406ABF6555}"/>
    <cellStyle name="Normal 2 5 4 2 3 4" xfId="9343" xr:uid="{8FD110E1-125A-4687-A057-FAF69ECEADAC}"/>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16119" xr:uid="{E0DF8AD8-2285-4633-948A-65EBAAA53ADC}"/>
    <cellStyle name="Normal 2 5 4 2 4 2 3" xfId="11901" xr:uid="{50515222-2F0E-46A5-9D68-3775362791DD}"/>
    <cellStyle name="Normal 2 5 4 2 4 3" xfId="5535" xr:uid="{00000000-0005-0000-0000-000032110000}"/>
    <cellStyle name="Normal 2 5 4 2 4 3 2" xfId="13974" xr:uid="{4A45FE7F-E300-44EF-944F-8FFCF7E944D6}"/>
    <cellStyle name="Normal 2 5 4 2 4 4" xfId="9756" xr:uid="{58E60857-54E1-446A-91C1-26188438B44A}"/>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16532" xr:uid="{7B4D151F-127A-4136-82A8-9CAEF4C1149C}"/>
    <cellStyle name="Normal 2 5 4 2 5 2 3" xfId="12314" xr:uid="{5CEDEBBE-7342-4A77-9DA6-E9DE0920CDE2}"/>
    <cellStyle name="Normal 2 5 4 2 5 3" xfId="5948" xr:uid="{00000000-0005-0000-0000-000036110000}"/>
    <cellStyle name="Normal 2 5 4 2 5 3 2" xfId="14387" xr:uid="{73AD8B51-023F-4A47-AD79-802BBBB35525}"/>
    <cellStyle name="Normal 2 5 4 2 5 4" xfId="10169" xr:uid="{8C0542BD-B85B-487A-A1AA-80D03DDF4AF7}"/>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16945" xr:uid="{FF2C2CA7-5361-497E-ABEC-DC4B24CB93F9}"/>
    <cellStyle name="Normal 2 5 4 2 6 2 3" xfId="12727" xr:uid="{92D72540-95C3-4C9F-A5A9-054CA3C0D952}"/>
    <cellStyle name="Normal 2 5 4 2 6 3" xfId="6361" xr:uid="{00000000-0005-0000-0000-00003A110000}"/>
    <cellStyle name="Normal 2 5 4 2 6 3 2" xfId="14800" xr:uid="{D1AF1619-D86C-47A4-B90B-AC15FB6B43B0}"/>
    <cellStyle name="Normal 2 5 4 2 6 4" xfId="10582" xr:uid="{ACB80DF5-D1C4-4088-9CC2-34D2732F8926}"/>
    <cellStyle name="Normal 2 5 4 2 7" xfId="2490" xr:uid="{00000000-0005-0000-0000-00003B110000}"/>
    <cellStyle name="Normal 2 5 4 2 7 2" xfId="6774" xr:uid="{00000000-0005-0000-0000-00003C110000}"/>
    <cellStyle name="Normal 2 5 4 2 7 2 2" xfId="15213" xr:uid="{CBA9EF3C-5B0E-4341-9FF0-9FB783C90198}"/>
    <cellStyle name="Normal 2 5 4 2 7 3" xfId="10995" xr:uid="{0022A8E4-640C-4F6D-B92A-A2BD86D6380C}"/>
    <cellStyle name="Normal 2 5 4 2 8" xfId="4708" xr:uid="{00000000-0005-0000-0000-00003D110000}"/>
    <cellStyle name="Normal 2 5 4 2 8 2" xfId="13147" xr:uid="{AAA51E8E-606F-463B-9B89-3B0EB0786525}"/>
    <cellStyle name="Normal 2 5 4 2 9" xfId="8929" xr:uid="{5DA53861-354E-444B-B7BB-AD58282F82B8}"/>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5708" xr:uid="{F6A729BD-795F-44D1-BDBE-3DEE930B15AE}"/>
    <cellStyle name="Normal 2 5 4 3 2 2 3" xfId="11490" xr:uid="{C5E9760D-2EDB-48C5-B654-C905F8D40CFD}"/>
    <cellStyle name="Normal 2 5 4 3 2 3" xfId="5124" xr:uid="{00000000-0005-0000-0000-000042110000}"/>
    <cellStyle name="Normal 2 5 4 3 2 3 2" xfId="13563" xr:uid="{84FAC84B-CCD3-40F7-A8B9-1CF8EB86F863}"/>
    <cellStyle name="Normal 2 5 4 3 2 4" xfId="9345" xr:uid="{85CD6C83-80D3-438C-BCCB-9544724DB818}"/>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16121" xr:uid="{1284DFCB-4D3B-4E50-AE6D-6EDC3899CCFD}"/>
    <cellStyle name="Normal 2 5 4 3 3 2 3" xfId="11903" xr:uid="{570C2278-B1ED-4991-B218-8E8F1A25837E}"/>
    <cellStyle name="Normal 2 5 4 3 3 3" xfId="5537" xr:uid="{00000000-0005-0000-0000-000046110000}"/>
    <cellStyle name="Normal 2 5 4 3 3 3 2" xfId="13976" xr:uid="{DBD2946C-6DF2-443A-89CE-684D0B8B1563}"/>
    <cellStyle name="Normal 2 5 4 3 3 4" xfId="9758" xr:uid="{6CD4C977-E8EB-47A3-A3DB-89E6A1C63AF0}"/>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16534" xr:uid="{40844004-B6B5-4AC1-83B7-2E19E009C9C1}"/>
    <cellStyle name="Normal 2 5 4 3 4 2 3" xfId="12316" xr:uid="{49C0BD8A-DDE9-4B05-B48B-A60DB0F1BBBA}"/>
    <cellStyle name="Normal 2 5 4 3 4 3" xfId="5950" xr:uid="{00000000-0005-0000-0000-00004A110000}"/>
    <cellStyle name="Normal 2 5 4 3 4 3 2" xfId="14389" xr:uid="{0C9BA7A6-ABC9-4673-8776-E2BCC6CB67D4}"/>
    <cellStyle name="Normal 2 5 4 3 4 4" xfId="10171" xr:uid="{BA083F56-D94F-444A-9CC0-09D3F9FEC709}"/>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16947" xr:uid="{25A462C8-1A49-4BDF-87D3-EC09A8BBF156}"/>
    <cellStyle name="Normal 2 5 4 3 5 2 3" xfId="12729" xr:uid="{D5801692-1E4E-4F5B-A08F-584348D7C97B}"/>
    <cellStyle name="Normal 2 5 4 3 5 3" xfId="6363" xr:uid="{00000000-0005-0000-0000-00004E110000}"/>
    <cellStyle name="Normal 2 5 4 3 5 3 2" xfId="14802" xr:uid="{8D1F70ED-540E-4CE1-8C40-54011A8D7D10}"/>
    <cellStyle name="Normal 2 5 4 3 5 4" xfId="10584" xr:uid="{D143EBB9-4546-4550-A557-D8658871413F}"/>
    <cellStyle name="Normal 2 5 4 3 6" xfId="2492" xr:uid="{00000000-0005-0000-0000-00004F110000}"/>
    <cellStyle name="Normal 2 5 4 3 6 2" xfId="6776" xr:uid="{00000000-0005-0000-0000-000050110000}"/>
    <cellStyle name="Normal 2 5 4 3 6 2 2" xfId="15215" xr:uid="{38CF033F-5966-4216-AB64-517A1022087E}"/>
    <cellStyle name="Normal 2 5 4 3 6 3" xfId="10997" xr:uid="{754BBDA8-F618-40C5-AC8F-BCFFA8CA44D6}"/>
    <cellStyle name="Normal 2 5 4 3 7" xfId="4710" xr:uid="{00000000-0005-0000-0000-000051110000}"/>
    <cellStyle name="Normal 2 5 4 3 7 2" xfId="13149" xr:uid="{BD7BD84D-736B-4215-9FBE-A70F78332E58}"/>
    <cellStyle name="Normal 2 5 4 3 8" xfId="8931" xr:uid="{09148EFA-0C4A-4F1E-B068-BC6A6651FEF5}"/>
    <cellStyle name="Normal 2 5 4 4" xfId="804" xr:uid="{00000000-0005-0000-0000-000052110000}"/>
    <cellStyle name="Normal 2 5 4 4 2" xfId="3043" xr:uid="{00000000-0005-0000-0000-000053110000}"/>
    <cellStyle name="Normal 2 5 4 4 2 2" xfId="7266" xr:uid="{00000000-0005-0000-0000-000054110000}"/>
    <cellStyle name="Normal 2 5 4 4 2 2 2" xfId="15705" xr:uid="{AD3B0659-745D-482D-B64E-8062572C8DAC}"/>
    <cellStyle name="Normal 2 5 4 4 2 3" xfId="11487" xr:uid="{18DC621B-58C9-4B73-9BB5-98399796F143}"/>
    <cellStyle name="Normal 2 5 4 4 3" xfId="5121" xr:uid="{00000000-0005-0000-0000-000055110000}"/>
    <cellStyle name="Normal 2 5 4 4 3 2" xfId="13560" xr:uid="{B6D4B58D-477C-4853-944A-7D62AAB541BB}"/>
    <cellStyle name="Normal 2 5 4 4 4" xfId="9342" xr:uid="{BB5EB812-607E-4D1A-897B-BCE169509816}"/>
    <cellStyle name="Normal 2 5 4 5" xfId="1226" xr:uid="{00000000-0005-0000-0000-000056110000}"/>
    <cellStyle name="Normal 2 5 4 5 2" xfId="3456" xr:uid="{00000000-0005-0000-0000-000057110000}"/>
    <cellStyle name="Normal 2 5 4 5 2 2" xfId="7679" xr:uid="{00000000-0005-0000-0000-000058110000}"/>
    <cellStyle name="Normal 2 5 4 5 2 2 2" xfId="16118" xr:uid="{3A723A26-2A8E-4A54-B329-532CB7992038}"/>
    <cellStyle name="Normal 2 5 4 5 2 3" xfId="11900" xr:uid="{7E078E42-F0D5-48CE-BFC6-7A71EA3F27DE}"/>
    <cellStyle name="Normal 2 5 4 5 3" xfId="5534" xr:uid="{00000000-0005-0000-0000-000059110000}"/>
    <cellStyle name="Normal 2 5 4 5 3 2" xfId="13973" xr:uid="{89A58CC7-A981-4A43-A626-E9AAED832A71}"/>
    <cellStyle name="Normal 2 5 4 5 4" xfId="9755" xr:uid="{6E515591-7763-4F32-BB5C-0107C4B1B703}"/>
    <cellStyle name="Normal 2 5 4 6" xfId="1639" xr:uid="{00000000-0005-0000-0000-00005A110000}"/>
    <cellStyle name="Normal 2 5 4 6 2" xfId="3869" xr:uid="{00000000-0005-0000-0000-00005B110000}"/>
    <cellStyle name="Normal 2 5 4 6 2 2" xfId="8092" xr:uid="{00000000-0005-0000-0000-00005C110000}"/>
    <cellStyle name="Normal 2 5 4 6 2 2 2" xfId="16531" xr:uid="{9B6BBA1F-427E-45C4-B559-425B6AAD351A}"/>
    <cellStyle name="Normal 2 5 4 6 2 3" xfId="12313" xr:uid="{F01978A3-44F6-4181-9330-144CA8AE8DC2}"/>
    <cellStyle name="Normal 2 5 4 6 3" xfId="5947" xr:uid="{00000000-0005-0000-0000-00005D110000}"/>
    <cellStyle name="Normal 2 5 4 6 3 2" xfId="14386" xr:uid="{AF85BF3B-8D06-4A66-A6F8-83D19AF24FF8}"/>
    <cellStyle name="Normal 2 5 4 6 4" xfId="10168" xr:uid="{B1A20853-B3E1-4E53-B286-32603A657AE5}"/>
    <cellStyle name="Normal 2 5 4 7" xfId="2053" xr:uid="{00000000-0005-0000-0000-00005E110000}"/>
    <cellStyle name="Normal 2 5 4 7 2" xfId="4282" xr:uid="{00000000-0005-0000-0000-00005F110000}"/>
    <cellStyle name="Normal 2 5 4 7 2 2" xfId="8505" xr:uid="{00000000-0005-0000-0000-000060110000}"/>
    <cellStyle name="Normal 2 5 4 7 2 2 2" xfId="16944" xr:uid="{722BB5B5-7B02-4E9B-9FA1-D7A75F18FD9C}"/>
    <cellStyle name="Normal 2 5 4 7 2 3" xfId="12726" xr:uid="{0706FD8E-04BD-47DE-9494-1262E17A826C}"/>
    <cellStyle name="Normal 2 5 4 7 3" xfId="6360" xr:uid="{00000000-0005-0000-0000-000061110000}"/>
    <cellStyle name="Normal 2 5 4 7 3 2" xfId="14799" xr:uid="{264FC2F2-916F-4B65-881D-3CAFD6BA8F9F}"/>
    <cellStyle name="Normal 2 5 4 7 4" xfId="10581" xr:uid="{73B59F1A-884D-4F65-9F26-9209C64FA538}"/>
    <cellStyle name="Normal 2 5 4 8" xfId="2489" xr:uid="{00000000-0005-0000-0000-000062110000}"/>
    <cellStyle name="Normal 2 5 4 8 2" xfId="6773" xr:uid="{00000000-0005-0000-0000-000063110000}"/>
    <cellStyle name="Normal 2 5 4 8 2 2" xfId="15212" xr:uid="{F4320B73-D1A8-4784-A8A2-92E42B8F08FF}"/>
    <cellStyle name="Normal 2 5 4 8 3" xfId="10994" xr:uid="{01214DF3-4B4D-4169-95D7-9E40321868D3}"/>
    <cellStyle name="Normal 2 5 4 9" xfId="4707" xr:uid="{00000000-0005-0000-0000-000064110000}"/>
    <cellStyle name="Normal 2 5 4 9 2" xfId="13146" xr:uid="{87980C4D-4D4A-4680-AC39-0F5811E7C3C1}"/>
    <cellStyle name="Normal 2 5 5" xfId="803" xr:uid="{00000000-0005-0000-0000-000065110000}"/>
    <cellStyle name="Normal 2 5 5 2" xfId="3042" xr:uid="{00000000-0005-0000-0000-000066110000}"/>
    <cellStyle name="Normal 2 5 5 2 2" xfId="7265" xr:uid="{00000000-0005-0000-0000-000067110000}"/>
    <cellStyle name="Normal 2 5 5 2 2 2" xfId="15704" xr:uid="{B2D3E19B-DDB4-4603-AA46-D1991AF3E012}"/>
    <cellStyle name="Normal 2 5 5 2 3" xfId="11486" xr:uid="{7DCFA946-4012-4B15-B93F-CC2ACF3DBBD7}"/>
    <cellStyle name="Normal 2 5 5 3" xfId="5120" xr:uid="{00000000-0005-0000-0000-000068110000}"/>
    <cellStyle name="Normal 2 5 5 3 2" xfId="13559" xr:uid="{8AADA61D-9365-4136-AF13-720FD22ACC90}"/>
    <cellStyle name="Normal 2 5 5 4" xfId="9341" xr:uid="{A1F192C7-2FD4-43B6-BE7F-2439D37BD8BA}"/>
    <cellStyle name="Normal 2 5 6" xfId="1225" xr:uid="{00000000-0005-0000-0000-000069110000}"/>
    <cellStyle name="Normal 2 5 6 2" xfId="3455" xr:uid="{00000000-0005-0000-0000-00006A110000}"/>
    <cellStyle name="Normal 2 5 6 2 2" xfId="7678" xr:uid="{00000000-0005-0000-0000-00006B110000}"/>
    <cellStyle name="Normal 2 5 6 2 2 2" xfId="16117" xr:uid="{9281B971-7186-4406-8345-1802B1685B7A}"/>
    <cellStyle name="Normal 2 5 6 2 3" xfId="11899" xr:uid="{57074217-C674-4D55-9AB7-497281BE9CFC}"/>
    <cellStyle name="Normal 2 5 6 3" xfId="5533" xr:uid="{00000000-0005-0000-0000-00006C110000}"/>
    <cellStyle name="Normal 2 5 6 3 2" xfId="13972" xr:uid="{3BCC0DEF-51A0-4FE7-A539-5B7DA432B2D9}"/>
    <cellStyle name="Normal 2 5 6 4" xfId="9754" xr:uid="{E4B198D7-9BD9-4F38-AAC1-F77D786AFDDB}"/>
    <cellStyle name="Normal 2 5 7" xfId="1638" xr:uid="{00000000-0005-0000-0000-00006D110000}"/>
    <cellStyle name="Normal 2 5 7 2" xfId="3868" xr:uid="{00000000-0005-0000-0000-00006E110000}"/>
    <cellStyle name="Normal 2 5 7 2 2" xfId="8091" xr:uid="{00000000-0005-0000-0000-00006F110000}"/>
    <cellStyle name="Normal 2 5 7 2 2 2" xfId="16530" xr:uid="{33286CEF-155A-4B6F-BF56-8509EE64A0A2}"/>
    <cellStyle name="Normal 2 5 7 2 3" xfId="12312" xr:uid="{CAD9EDAE-239B-43A3-A0A1-5D60CEC56DD1}"/>
    <cellStyle name="Normal 2 5 7 3" xfId="5946" xr:uid="{00000000-0005-0000-0000-000070110000}"/>
    <cellStyle name="Normal 2 5 7 3 2" xfId="14385" xr:uid="{D9DA1947-E9D7-40DD-B573-20FCC0F6A910}"/>
    <cellStyle name="Normal 2 5 7 4" xfId="10167" xr:uid="{2C3C0674-4E5A-4E9F-BA00-B7BAAA834447}"/>
    <cellStyle name="Normal 2 5 8" xfId="2052" xr:uid="{00000000-0005-0000-0000-000071110000}"/>
    <cellStyle name="Normal 2 5 8 2" xfId="4281" xr:uid="{00000000-0005-0000-0000-000072110000}"/>
    <cellStyle name="Normal 2 5 8 2 2" xfId="8504" xr:uid="{00000000-0005-0000-0000-000073110000}"/>
    <cellStyle name="Normal 2 5 8 2 2 2" xfId="16943" xr:uid="{84FC2342-95F7-4D19-8C86-F325EF6023EC}"/>
    <cellStyle name="Normal 2 5 8 2 3" xfId="12725" xr:uid="{F5BE86DC-76D0-440F-A500-C5A78C46FADF}"/>
    <cellStyle name="Normal 2 5 8 3" xfId="6359" xr:uid="{00000000-0005-0000-0000-000074110000}"/>
    <cellStyle name="Normal 2 5 8 3 2" xfId="14798" xr:uid="{354DD912-15B8-4335-9309-40272263E617}"/>
    <cellStyle name="Normal 2 5 8 4" xfId="10580" xr:uid="{B49A2AED-45BD-42C2-847C-E8486C57E222}"/>
    <cellStyle name="Normal 2 5 9" xfId="2488" xr:uid="{00000000-0005-0000-0000-000075110000}"/>
    <cellStyle name="Normal 2 5 9 2" xfId="6772" xr:uid="{00000000-0005-0000-0000-000076110000}"/>
    <cellStyle name="Normal 2 5 9 2 2" xfId="15211" xr:uid="{4FC95957-EDB0-491D-A2BF-27938ED5E377}"/>
    <cellStyle name="Normal 2 5 9 3" xfId="10993" xr:uid="{0B7326B8-E16D-4AE3-A513-739F439C02E5}"/>
    <cellStyle name="Normal 2 6" xfId="322" xr:uid="{00000000-0005-0000-0000-000077110000}"/>
    <cellStyle name="Normal 2 7" xfId="769" xr:uid="{00000000-0005-0000-0000-000078110000}"/>
    <cellStyle name="Normal 2 8" xfId="4495" xr:uid="{00000000-0005-0000-0000-000079110000}"/>
    <cellStyle name="Normal 2 8 2" xfId="12937" xr:uid="{50AA4894-FDA6-4D6B-86CD-8D0542C753A4}"/>
    <cellStyle name="Normal 3" xfId="323" xr:uid="{00000000-0005-0000-0000-00007A110000}"/>
    <cellStyle name="Normal 3 2" xfId="324" xr:uid="{00000000-0005-0000-0000-00007B110000}"/>
    <cellStyle name="Normal 3 2 10" xfId="8932" xr:uid="{51809E94-C5A1-445C-B89A-12CAFEE454FA}"/>
    <cellStyle name="Normal 3 2 2" xfId="325" xr:uid="{00000000-0005-0000-0000-00007C110000}"/>
    <cellStyle name="Normal 3 2 2 2" xfId="810" xr:uid="{00000000-0005-0000-0000-00007D110000}"/>
    <cellStyle name="Normal 3 2 3" xfId="326" xr:uid="{00000000-0005-0000-0000-00007E110000}"/>
    <cellStyle name="Normal 3 2 3 10" xfId="8933" xr:uid="{FF4C4BCD-1CA5-4F91-BEEC-6424BFBA6DE2}"/>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5712" xr:uid="{4B09BD9C-D24B-495B-8DBA-58718FD356F4}"/>
    <cellStyle name="Normal 3 2 3 2 2 2 2 3" xfId="11494" xr:uid="{6AFD6DE9-412B-46AF-B747-6CAF2C52CB3B}"/>
    <cellStyle name="Normal 3 2 3 2 2 2 3" xfId="5128" xr:uid="{00000000-0005-0000-0000-000084110000}"/>
    <cellStyle name="Normal 3 2 3 2 2 2 3 2" xfId="13567" xr:uid="{60D623FF-C658-4638-A629-9A2300A4EA72}"/>
    <cellStyle name="Normal 3 2 3 2 2 2 4" xfId="9349" xr:uid="{E1D57D68-509A-4191-BF1D-9FEED7A9378E}"/>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16125" xr:uid="{6D5B9D07-5C38-4F7C-A787-0FA72F422CB6}"/>
    <cellStyle name="Normal 3 2 3 2 2 3 2 3" xfId="11907" xr:uid="{F694EE45-FCD6-440C-8E04-C7459FA44F32}"/>
    <cellStyle name="Normal 3 2 3 2 2 3 3" xfId="5541" xr:uid="{00000000-0005-0000-0000-000088110000}"/>
    <cellStyle name="Normal 3 2 3 2 2 3 3 2" xfId="13980" xr:uid="{EBF73BE3-1524-4745-AB4E-D4E4CE6E1FBA}"/>
    <cellStyle name="Normal 3 2 3 2 2 3 4" xfId="9762" xr:uid="{BC122ECA-624E-457C-84D7-FCD701E4C664}"/>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16538" xr:uid="{4AB66F93-3C33-42AE-AEF3-28045FC988DF}"/>
    <cellStyle name="Normal 3 2 3 2 2 4 2 3" xfId="12320" xr:uid="{EA7E33B0-2189-49AB-BDBE-1E187C6F1429}"/>
    <cellStyle name="Normal 3 2 3 2 2 4 3" xfId="5954" xr:uid="{00000000-0005-0000-0000-00008C110000}"/>
    <cellStyle name="Normal 3 2 3 2 2 4 3 2" xfId="14393" xr:uid="{64313134-6030-4D89-92B4-7C0CCDC0A600}"/>
    <cellStyle name="Normal 3 2 3 2 2 4 4" xfId="10175" xr:uid="{D28D314D-DDD7-4927-92D3-7CDE92ADA8B1}"/>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16951" xr:uid="{2E0766F3-F75C-4597-A4DD-4001D465725C}"/>
    <cellStyle name="Normal 3 2 3 2 2 5 2 3" xfId="12733" xr:uid="{9BE7172B-EE19-4E6F-98EF-D72E6E2A7B61}"/>
    <cellStyle name="Normal 3 2 3 2 2 5 3" xfId="6367" xr:uid="{00000000-0005-0000-0000-000090110000}"/>
    <cellStyle name="Normal 3 2 3 2 2 5 3 2" xfId="14806" xr:uid="{24ABF794-83E7-4F3D-9BA8-51C7F4614658}"/>
    <cellStyle name="Normal 3 2 3 2 2 5 4" xfId="10588" xr:uid="{C648A00F-62D1-47B3-9138-1462BF0A558D}"/>
    <cellStyle name="Normal 3 2 3 2 2 6" xfId="2496" xr:uid="{00000000-0005-0000-0000-000091110000}"/>
    <cellStyle name="Normal 3 2 3 2 2 6 2" xfId="6780" xr:uid="{00000000-0005-0000-0000-000092110000}"/>
    <cellStyle name="Normal 3 2 3 2 2 6 2 2" xfId="15219" xr:uid="{580F6A33-3F0D-483B-9504-EEECA81A68B3}"/>
    <cellStyle name="Normal 3 2 3 2 2 6 3" xfId="11001" xr:uid="{81258FE7-BD57-4AAD-BB16-5131D38A60A5}"/>
    <cellStyle name="Normal 3 2 3 2 2 7" xfId="4714" xr:uid="{00000000-0005-0000-0000-000093110000}"/>
    <cellStyle name="Normal 3 2 3 2 2 7 2" xfId="13153" xr:uid="{DF0254ED-C1D2-4010-ADE4-6E8EC8D41DDD}"/>
    <cellStyle name="Normal 3 2 3 2 2 8" xfId="8935" xr:uid="{97ECEB6F-7351-4614-8896-F202A1EC5029}"/>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5711" xr:uid="{71F70696-7648-4CB4-AAB3-27908E256D1B}"/>
    <cellStyle name="Normal 3 2 3 2 3 2 3" xfId="11493" xr:uid="{79D41032-D188-4AB4-8161-FAB151101E79}"/>
    <cellStyle name="Normal 3 2 3 2 3 3" xfId="5127" xr:uid="{00000000-0005-0000-0000-000097110000}"/>
    <cellStyle name="Normal 3 2 3 2 3 3 2" xfId="13566" xr:uid="{8CB54BAE-E6B1-4377-88E2-4B81550AD689}"/>
    <cellStyle name="Normal 3 2 3 2 3 4" xfId="9348" xr:uid="{1E378736-8E43-4732-8D91-F742947FAA9F}"/>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16124" xr:uid="{F878B14F-70A3-42A1-9A86-E4D24F26F607}"/>
    <cellStyle name="Normal 3 2 3 2 4 2 3" xfId="11906" xr:uid="{4531D925-6639-4485-92DD-5342531E4F1E}"/>
    <cellStyle name="Normal 3 2 3 2 4 3" xfId="5540" xr:uid="{00000000-0005-0000-0000-00009B110000}"/>
    <cellStyle name="Normal 3 2 3 2 4 3 2" xfId="13979" xr:uid="{739500BD-A97C-4D27-A321-94DF6D65BD9A}"/>
    <cellStyle name="Normal 3 2 3 2 4 4" xfId="9761" xr:uid="{B308948D-2500-4DF4-8E90-E476881D048D}"/>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16537" xr:uid="{1F86937D-9F7C-421D-84BB-AB4920314EDB}"/>
    <cellStyle name="Normal 3 2 3 2 5 2 3" xfId="12319" xr:uid="{3E50B1EC-DE54-44E5-BC9F-000C5F3285AC}"/>
    <cellStyle name="Normal 3 2 3 2 5 3" xfId="5953" xr:uid="{00000000-0005-0000-0000-00009F110000}"/>
    <cellStyle name="Normal 3 2 3 2 5 3 2" xfId="14392" xr:uid="{B5835D76-B183-4FEE-A477-B18459FDF435}"/>
    <cellStyle name="Normal 3 2 3 2 5 4" xfId="10174" xr:uid="{B26D2E79-5366-429C-BC4E-24DC45D44D31}"/>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16950" xr:uid="{5786335F-A265-4ED6-AA5B-0EEF487E89B0}"/>
    <cellStyle name="Normal 3 2 3 2 6 2 3" xfId="12732" xr:uid="{84BD249D-6D46-475F-8B94-6FD6E076E5B1}"/>
    <cellStyle name="Normal 3 2 3 2 6 3" xfId="6366" xr:uid="{00000000-0005-0000-0000-0000A3110000}"/>
    <cellStyle name="Normal 3 2 3 2 6 3 2" xfId="14805" xr:uid="{AEF332C1-6570-41A0-8EBE-A62FAE04700A}"/>
    <cellStyle name="Normal 3 2 3 2 6 4" xfId="10587" xr:uid="{8ED0340F-2625-41D2-8FF4-99717515EA9B}"/>
    <cellStyle name="Normal 3 2 3 2 7" xfId="2495" xr:uid="{00000000-0005-0000-0000-0000A4110000}"/>
    <cellStyle name="Normal 3 2 3 2 7 2" xfId="6779" xr:uid="{00000000-0005-0000-0000-0000A5110000}"/>
    <cellStyle name="Normal 3 2 3 2 7 2 2" xfId="15218" xr:uid="{332F97A2-D5E6-429C-BF13-FCCE66E8D928}"/>
    <cellStyle name="Normal 3 2 3 2 7 3" xfId="11000" xr:uid="{E74EAF39-6137-4200-BA0B-D5935A525D1B}"/>
    <cellStyle name="Normal 3 2 3 2 8" xfId="4713" xr:uid="{00000000-0005-0000-0000-0000A6110000}"/>
    <cellStyle name="Normal 3 2 3 2 8 2" xfId="13152" xr:uid="{6E56DECE-1168-4246-81D1-83EA110FED28}"/>
    <cellStyle name="Normal 3 2 3 2 9" xfId="8934" xr:uid="{BB38B0D3-DB37-4894-911C-1E4EE6DA4CB9}"/>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5713" xr:uid="{1F9D6CBD-595F-43B1-BBFA-349C5D6DB677}"/>
    <cellStyle name="Normal 3 2 3 3 2 2 3" xfId="11495" xr:uid="{6E9EA575-B1F7-47E8-8160-B81CCA328364}"/>
    <cellStyle name="Normal 3 2 3 3 2 3" xfId="5129" xr:uid="{00000000-0005-0000-0000-0000AB110000}"/>
    <cellStyle name="Normal 3 2 3 3 2 3 2" xfId="13568" xr:uid="{561E7F9C-6879-43C0-8376-B9BD8EE0C2EE}"/>
    <cellStyle name="Normal 3 2 3 3 2 4" xfId="9350" xr:uid="{A845DF9E-EB72-414D-820F-C5D165DDFC58}"/>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16126" xr:uid="{310DF4D2-1907-4E2B-A819-65E21D5C7CB1}"/>
    <cellStyle name="Normal 3 2 3 3 3 2 3" xfId="11908" xr:uid="{41AF01E0-7AC4-43E0-B2BA-5A196E0636A7}"/>
    <cellStyle name="Normal 3 2 3 3 3 3" xfId="5542" xr:uid="{00000000-0005-0000-0000-0000AF110000}"/>
    <cellStyle name="Normal 3 2 3 3 3 3 2" xfId="13981" xr:uid="{80941D9E-0A57-4790-BE94-3D7E0D3AD085}"/>
    <cellStyle name="Normal 3 2 3 3 3 4" xfId="9763" xr:uid="{DC29204B-144C-474B-8529-22FB92269193}"/>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16539" xr:uid="{997C5090-4191-4764-9010-A5EF19892DF2}"/>
    <cellStyle name="Normal 3 2 3 3 4 2 3" xfId="12321" xr:uid="{BE5FA5F7-CD4E-4EF6-AA36-DC6FDDD4D37A}"/>
    <cellStyle name="Normal 3 2 3 3 4 3" xfId="5955" xr:uid="{00000000-0005-0000-0000-0000B3110000}"/>
    <cellStyle name="Normal 3 2 3 3 4 3 2" xfId="14394" xr:uid="{3ED95BE4-B910-4856-B23E-7C8CD04C61DC}"/>
    <cellStyle name="Normal 3 2 3 3 4 4" xfId="10176" xr:uid="{98554B82-8D3C-4E7F-9569-9A0C005196A4}"/>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16952" xr:uid="{4008599F-7DBB-4E90-AD19-98F234657BDD}"/>
    <cellStyle name="Normal 3 2 3 3 5 2 3" xfId="12734" xr:uid="{F7BAFCBF-1AE7-4D74-973C-87162976C2D3}"/>
    <cellStyle name="Normal 3 2 3 3 5 3" xfId="6368" xr:uid="{00000000-0005-0000-0000-0000B7110000}"/>
    <cellStyle name="Normal 3 2 3 3 5 3 2" xfId="14807" xr:uid="{A69EA067-DC3C-4654-84A4-696A8A3BC554}"/>
    <cellStyle name="Normal 3 2 3 3 5 4" xfId="10589" xr:uid="{34E68E8E-91C8-4B0D-B918-DB33D4153A0B}"/>
    <cellStyle name="Normal 3 2 3 3 6" xfId="2497" xr:uid="{00000000-0005-0000-0000-0000B8110000}"/>
    <cellStyle name="Normal 3 2 3 3 6 2" xfId="6781" xr:uid="{00000000-0005-0000-0000-0000B9110000}"/>
    <cellStyle name="Normal 3 2 3 3 6 2 2" xfId="15220" xr:uid="{98EDFE05-2B99-4969-807D-012F8DC2835B}"/>
    <cellStyle name="Normal 3 2 3 3 6 3" xfId="11002" xr:uid="{B0D8D77E-A5F3-4115-8835-7D23258E624D}"/>
    <cellStyle name="Normal 3 2 3 3 7" xfId="4715" xr:uid="{00000000-0005-0000-0000-0000BA110000}"/>
    <cellStyle name="Normal 3 2 3 3 7 2" xfId="13154" xr:uid="{330BB933-8744-45BC-BBEE-632C70D2EB9C}"/>
    <cellStyle name="Normal 3 2 3 3 8" xfId="8936" xr:uid="{09A93BBD-7EED-4435-B226-C1B305A4C3D3}"/>
    <cellStyle name="Normal 3 2 3 4" xfId="811" xr:uid="{00000000-0005-0000-0000-0000BB110000}"/>
    <cellStyle name="Normal 3 2 3 4 2" xfId="3048" xr:uid="{00000000-0005-0000-0000-0000BC110000}"/>
    <cellStyle name="Normal 3 2 3 4 2 2" xfId="7271" xr:uid="{00000000-0005-0000-0000-0000BD110000}"/>
    <cellStyle name="Normal 3 2 3 4 2 2 2" xfId="15710" xr:uid="{C14B74B1-C4C6-42C3-9576-E5F648F72774}"/>
    <cellStyle name="Normal 3 2 3 4 2 3" xfId="11492" xr:uid="{C6AA78EF-A94E-46AC-A08C-7C9BECA0ABBE}"/>
    <cellStyle name="Normal 3 2 3 4 3" xfId="5126" xr:uid="{00000000-0005-0000-0000-0000BE110000}"/>
    <cellStyle name="Normal 3 2 3 4 3 2" xfId="13565" xr:uid="{419DCE89-3CB6-4AD0-99FA-81AB80256669}"/>
    <cellStyle name="Normal 3 2 3 4 4" xfId="9347" xr:uid="{51354180-66CE-4436-9A95-9B9A88DA89EF}"/>
    <cellStyle name="Normal 3 2 3 5" xfId="1231" xr:uid="{00000000-0005-0000-0000-0000BF110000}"/>
    <cellStyle name="Normal 3 2 3 5 2" xfId="3461" xr:uid="{00000000-0005-0000-0000-0000C0110000}"/>
    <cellStyle name="Normal 3 2 3 5 2 2" xfId="7684" xr:uid="{00000000-0005-0000-0000-0000C1110000}"/>
    <cellStyle name="Normal 3 2 3 5 2 2 2" xfId="16123" xr:uid="{BB45E547-18C9-41BA-ACCE-2CD6B08D9B8E}"/>
    <cellStyle name="Normal 3 2 3 5 2 3" xfId="11905" xr:uid="{A0011593-55BE-44CD-AFB2-38D898CC3B2D}"/>
    <cellStyle name="Normal 3 2 3 5 3" xfId="5539" xr:uid="{00000000-0005-0000-0000-0000C2110000}"/>
    <cellStyle name="Normal 3 2 3 5 3 2" xfId="13978" xr:uid="{F68D3478-FB2A-4006-8D44-FF39142D5DB3}"/>
    <cellStyle name="Normal 3 2 3 5 4" xfId="9760" xr:uid="{CA370EEB-0E38-4227-9A8E-BAAB30558B30}"/>
    <cellStyle name="Normal 3 2 3 6" xfId="1644" xr:uid="{00000000-0005-0000-0000-0000C3110000}"/>
    <cellStyle name="Normal 3 2 3 6 2" xfId="3874" xr:uid="{00000000-0005-0000-0000-0000C4110000}"/>
    <cellStyle name="Normal 3 2 3 6 2 2" xfId="8097" xr:uid="{00000000-0005-0000-0000-0000C5110000}"/>
    <cellStyle name="Normal 3 2 3 6 2 2 2" xfId="16536" xr:uid="{D5EE7BE9-9FE0-45B1-97E6-A57E500E217C}"/>
    <cellStyle name="Normal 3 2 3 6 2 3" xfId="12318" xr:uid="{B4722CFE-8CAF-4093-A1E4-375A8E18FA90}"/>
    <cellStyle name="Normal 3 2 3 6 3" xfId="5952" xr:uid="{00000000-0005-0000-0000-0000C6110000}"/>
    <cellStyle name="Normal 3 2 3 6 3 2" xfId="14391" xr:uid="{1D2BBED6-E4E8-452E-AC27-7C2C6EEBF731}"/>
    <cellStyle name="Normal 3 2 3 6 4" xfId="10173" xr:uid="{7DB76F4E-3690-4CC7-BC35-9401A2198D43}"/>
    <cellStyle name="Normal 3 2 3 7" xfId="2058" xr:uid="{00000000-0005-0000-0000-0000C7110000}"/>
    <cellStyle name="Normal 3 2 3 7 2" xfId="4287" xr:uid="{00000000-0005-0000-0000-0000C8110000}"/>
    <cellStyle name="Normal 3 2 3 7 2 2" xfId="8510" xr:uid="{00000000-0005-0000-0000-0000C9110000}"/>
    <cellStyle name="Normal 3 2 3 7 2 2 2" xfId="16949" xr:uid="{5FA2B3FF-E512-4D7B-8B08-98EF160BFC20}"/>
    <cellStyle name="Normal 3 2 3 7 2 3" xfId="12731" xr:uid="{AEC5F15D-41B5-4BAA-A0E8-128D63095D11}"/>
    <cellStyle name="Normal 3 2 3 7 3" xfId="6365" xr:uid="{00000000-0005-0000-0000-0000CA110000}"/>
    <cellStyle name="Normal 3 2 3 7 3 2" xfId="14804" xr:uid="{DA53C078-A9EF-4DEA-A8B6-E1ADBFCFFF37}"/>
    <cellStyle name="Normal 3 2 3 7 4" xfId="10586" xr:uid="{AD2B1D77-D91C-4FB3-8828-0ADFE8452882}"/>
    <cellStyle name="Normal 3 2 3 8" xfId="2494" xr:uid="{00000000-0005-0000-0000-0000CB110000}"/>
    <cellStyle name="Normal 3 2 3 8 2" xfId="6778" xr:uid="{00000000-0005-0000-0000-0000CC110000}"/>
    <cellStyle name="Normal 3 2 3 8 2 2" xfId="15217" xr:uid="{52715079-A48F-4936-BF6F-B93C7A48DDF4}"/>
    <cellStyle name="Normal 3 2 3 8 3" xfId="10999" xr:uid="{FBD7D75B-C927-42A2-B19E-24DD3787F05E}"/>
    <cellStyle name="Normal 3 2 3 9" xfId="4712" xr:uid="{00000000-0005-0000-0000-0000CD110000}"/>
    <cellStyle name="Normal 3 2 3 9 2" xfId="13151" xr:uid="{9C73E5BE-F494-4DE0-8469-4907EFAC42B8}"/>
    <cellStyle name="Normal 3 2 4" xfId="809" xr:uid="{00000000-0005-0000-0000-0000CE110000}"/>
    <cellStyle name="Normal 3 2 4 2" xfId="3047" xr:uid="{00000000-0005-0000-0000-0000CF110000}"/>
    <cellStyle name="Normal 3 2 4 2 2" xfId="7270" xr:uid="{00000000-0005-0000-0000-0000D0110000}"/>
    <cellStyle name="Normal 3 2 4 2 2 2" xfId="15709" xr:uid="{57DA394E-A658-4DFA-ABFB-D0883BE2F3FA}"/>
    <cellStyle name="Normal 3 2 4 2 3" xfId="11491" xr:uid="{92C18FA1-28ED-4342-A51A-A2786A09AFAA}"/>
    <cellStyle name="Normal 3 2 4 3" xfId="5125" xr:uid="{00000000-0005-0000-0000-0000D1110000}"/>
    <cellStyle name="Normal 3 2 4 3 2" xfId="13564" xr:uid="{B61926B6-5FA1-4F55-81B3-D50422E28A88}"/>
    <cellStyle name="Normal 3 2 4 4" xfId="9346" xr:uid="{1455914C-60F1-41F1-ACAA-5053016B7F58}"/>
    <cellStyle name="Normal 3 2 5" xfId="1230" xr:uid="{00000000-0005-0000-0000-0000D2110000}"/>
    <cellStyle name="Normal 3 2 5 2" xfId="3460" xr:uid="{00000000-0005-0000-0000-0000D3110000}"/>
    <cellStyle name="Normal 3 2 5 2 2" xfId="7683" xr:uid="{00000000-0005-0000-0000-0000D4110000}"/>
    <cellStyle name="Normal 3 2 5 2 2 2" xfId="16122" xr:uid="{4B54001E-9CC6-4C29-9B23-39CC3AFA1559}"/>
    <cellStyle name="Normal 3 2 5 2 3" xfId="11904" xr:uid="{7491AFA7-FAE7-49F9-A718-5F26B82BB2DE}"/>
    <cellStyle name="Normal 3 2 5 3" xfId="5538" xr:uid="{00000000-0005-0000-0000-0000D5110000}"/>
    <cellStyle name="Normal 3 2 5 3 2" xfId="13977" xr:uid="{A31EBDC0-068E-4E30-A9DC-061857240B34}"/>
    <cellStyle name="Normal 3 2 5 4" xfId="9759" xr:uid="{A0785B24-DDE9-42B2-A21A-C72680DEF7C3}"/>
    <cellStyle name="Normal 3 2 6" xfId="1643" xr:uid="{00000000-0005-0000-0000-0000D6110000}"/>
    <cellStyle name="Normal 3 2 6 2" xfId="3873" xr:uid="{00000000-0005-0000-0000-0000D7110000}"/>
    <cellStyle name="Normal 3 2 6 2 2" xfId="8096" xr:uid="{00000000-0005-0000-0000-0000D8110000}"/>
    <cellStyle name="Normal 3 2 6 2 2 2" xfId="16535" xr:uid="{C6B99719-0390-47A2-BF9C-ADE391EF26C5}"/>
    <cellStyle name="Normal 3 2 6 2 3" xfId="12317" xr:uid="{0E85BAAA-68E2-47FB-86A9-976544CB0521}"/>
    <cellStyle name="Normal 3 2 6 3" xfId="5951" xr:uid="{00000000-0005-0000-0000-0000D9110000}"/>
    <cellStyle name="Normal 3 2 6 3 2" xfId="14390" xr:uid="{196EC4E9-4C57-4B3A-88B4-CF4ACF79AA97}"/>
    <cellStyle name="Normal 3 2 6 4" xfId="10172" xr:uid="{07DA2E86-11DD-4922-BC7E-08B82FCC2088}"/>
    <cellStyle name="Normal 3 2 7" xfId="2057" xr:uid="{00000000-0005-0000-0000-0000DA110000}"/>
    <cellStyle name="Normal 3 2 7 2" xfId="4286" xr:uid="{00000000-0005-0000-0000-0000DB110000}"/>
    <cellStyle name="Normal 3 2 7 2 2" xfId="8509" xr:uid="{00000000-0005-0000-0000-0000DC110000}"/>
    <cellStyle name="Normal 3 2 7 2 2 2" xfId="16948" xr:uid="{C797F971-57CC-49EF-8071-273BC150C398}"/>
    <cellStyle name="Normal 3 2 7 2 3" xfId="12730" xr:uid="{DAC83C06-7FD5-4005-A924-FFD95C9B1309}"/>
    <cellStyle name="Normal 3 2 7 3" xfId="6364" xr:uid="{00000000-0005-0000-0000-0000DD110000}"/>
    <cellStyle name="Normal 3 2 7 3 2" xfId="14803" xr:uid="{0F29FB88-5C9A-436A-B6EF-9927CA37C44F}"/>
    <cellStyle name="Normal 3 2 7 4" xfId="10585" xr:uid="{6DFD24A9-C654-43AE-B6B6-DE64537A3C49}"/>
    <cellStyle name="Normal 3 2 8" xfId="2493" xr:uid="{00000000-0005-0000-0000-0000DE110000}"/>
    <cellStyle name="Normal 3 2 8 2" xfId="6777" xr:uid="{00000000-0005-0000-0000-0000DF110000}"/>
    <cellStyle name="Normal 3 2 8 2 2" xfId="15216" xr:uid="{9BBB06CB-AB6E-49C3-ADF1-FF0724BD67ED}"/>
    <cellStyle name="Normal 3 2 8 3" xfId="10998" xr:uid="{0B38CC5E-CB8C-4F06-B1EC-5C086FF91D07}"/>
    <cellStyle name="Normal 3 2 9" xfId="4711" xr:uid="{00000000-0005-0000-0000-0000E0110000}"/>
    <cellStyle name="Normal 3 2 9 2" xfId="13150" xr:uid="{B1985DB5-374E-4EFC-A381-A594D927984E}"/>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37" xr:uid="{A5AF7DCA-BF82-4DDD-883F-D86DA554794F}"/>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16953" xr:uid="{C818CED5-90F0-43D3-8314-1139AED1FE82}"/>
    <cellStyle name="Normal 4 2 2 10 2 3" xfId="12735" xr:uid="{9427C7F6-34A2-4BBD-A9CD-58E209B62F6F}"/>
    <cellStyle name="Normal 4 2 2 10 3" xfId="6369" xr:uid="{00000000-0005-0000-0000-0000ED110000}"/>
    <cellStyle name="Normal 4 2 2 10 3 2" xfId="14808" xr:uid="{779D1234-0910-4B0D-838B-B85B081FAC81}"/>
    <cellStyle name="Normal 4 2 2 10 4" xfId="10590" xr:uid="{22FCAA47-2425-4954-9316-2A41EB8258E9}"/>
    <cellStyle name="Normal 4 2 2 11" xfId="2498" xr:uid="{00000000-0005-0000-0000-0000EE110000}"/>
    <cellStyle name="Normal 4 2 2 11 2" xfId="6782" xr:uid="{00000000-0005-0000-0000-0000EF110000}"/>
    <cellStyle name="Normal 4 2 2 11 2 2" xfId="15221" xr:uid="{3C000C3F-6936-481E-9AC2-74A92AC4E185}"/>
    <cellStyle name="Normal 4 2 2 11 3" xfId="11003" xr:uid="{DB894748-DBCC-4A13-853E-05ACDB71663D}"/>
    <cellStyle name="Normal 4 2 2 12" xfId="4717" xr:uid="{00000000-0005-0000-0000-0000F0110000}"/>
    <cellStyle name="Normal 4 2 2 12 2" xfId="13156" xr:uid="{02A34B88-87E5-47A3-8CEC-7A4E414B289F}"/>
    <cellStyle name="Normal 4 2 2 13" xfId="8938" xr:uid="{1C1C3446-84CE-4B96-811E-4ACB72E293E4}"/>
    <cellStyle name="Normal 4 2 2 2" xfId="338" xr:uid="{00000000-0005-0000-0000-0000F1110000}"/>
    <cellStyle name="Normal 4 2 2 3" xfId="339" xr:uid="{00000000-0005-0000-0000-0000F2110000}"/>
    <cellStyle name="Normal 4 2 2 3 10" xfId="4718" xr:uid="{00000000-0005-0000-0000-0000F3110000}"/>
    <cellStyle name="Normal 4 2 2 3 10 2" xfId="13157" xr:uid="{B47251E4-09D3-4894-B623-E91511DE3956}"/>
    <cellStyle name="Normal 4 2 2 3 11" xfId="8939" xr:uid="{BB2041F9-60B4-4E1B-A949-DB027393CEE8}"/>
    <cellStyle name="Normal 4 2 2 3 2" xfId="340" xr:uid="{00000000-0005-0000-0000-0000F4110000}"/>
    <cellStyle name="Normal 4 2 2 3 2 10" xfId="8940" xr:uid="{DB807C66-93A7-4CBB-B2D3-FCBF85573789}"/>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5718" xr:uid="{1A050B8E-E231-4EC5-893A-6A8A2A782BD5}"/>
    <cellStyle name="Normal 4 2 2 3 2 2 2 2 2 3" xfId="11500" xr:uid="{692A2C7A-068C-4F75-A723-40BBD53FD986}"/>
    <cellStyle name="Normal 4 2 2 3 2 2 2 2 3" xfId="5134" xr:uid="{00000000-0005-0000-0000-0000FA110000}"/>
    <cellStyle name="Normal 4 2 2 3 2 2 2 2 3 2" xfId="13573" xr:uid="{C00AA3ED-4C0C-4836-906A-5153BAAE2D5E}"/>
    <cellStyle name="Normal 4 2 2 3 2 2 2 2 4" xfId="9355" xr:uid="{060C6937-2465-4B6E-915D-4873EA6076D8}"/>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16131" xr:uid="{3592F83A-3C4C-497B-B81B-DC55FD85F6AB}"/>
    <cellStyle name="Normal 4 2 2 3 2 2 2 3 2 3" xfId="11913" xr:uid="{2E310BE1-8DA7-40EF-B44A-D36F6C910147}"/>
    <cellStyle name="Normal 4 2 2 3 2 2 2 3 3" xfId="5547" xr:uid="{00000000-0005-0000-0000-0000FE110000}"/>
    <cellStyle name="Normal 4 2 2 3 2 2 2 3 3 2" xfId="13986" xr:uid="{2555B565-0CFF-4E56-BA6B-A68F56D0E26B}"/>
    <cellStyle name="Normal 4 2 2 3 2 2 2 3 4" xfId="9768" xr:uid="{C4605C8A-9DE9-4A94-9641-ECBB06BE6B18}"/>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16544" xr:uid="{92FA2BF5-49DB-47DA-8339-CE557C7AE9CE}"/>
    <cellStyle name="Normal 4 2 2 3 2 2 2 4 2 3" xfId="12326" xr:uid="{03F20CC6-D972-4ED4-8212-2A1A4A133D85}"/>
    <cellStyle name="Normal 4 2 2 3 2 2 2 4 3" xfId="5960" xr:uid="{00000000-0005-0000-0000-000002120000}"/>
    <cellStyle name="Normal 4 2 2 3 2 2 2 4 3 2" xfId="14399" xr:uid="{CAAE6B15-9667-4FF5-BAF9-C63B7ADEC65C}"/>
    <cellStyle name="Normal 4 2 2 3 2 2 2 4 4" xfId="10181" xr:uid="{A7163123-4200-472D-A6CD-4B319362FB62}"/>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16957" xr:uid="{0A7CB6B9-5011-42F8-946F-A53C0C469EC3}"/>
    <cellStyle name="Normal 4 2 2 3 2 2 2 5 2 3" xfId="12739" xr:uid="{A4136F92-3427-484F-99EE-7DD79468778C}"/>
    <cellStyle name="Normal 4 2 2 3 2 2 2 5 3" xfId="6373" xr:uid="{00000000-0005-0000-0000-000006120000}"/>
    <cellStyle name="Normal 4 2 2 3 2 2 2 5 3 2" xfId="14812" xr:uid="{18B456C9-33D5-41F7-81A8-5AA1592B6852}"/>
    <cellStyle name="Normal 4 2 2 3 2 2 2 5 4" xfId="10594" xr:uid="{A742BABB-921B-405E-8EA0-5FAE458473D0}"/>
    <cellStyle name="Normal 4 2 2 3 2 2 2 6" xfId="2502" xr:uid="{00000000-0005-0000-0000-000007120000}"/>
    <cellStyle name="Normal 4 2 2 3 2 2 2 6 2" xfId="6786" xr:uid="{00000000-0005-0000-0000-000008120000}"/>
    <cellStyle name="Normal 4 2 2 3 2 2 2 6 2 2" xfId="15225" xr:uid="{EB8D4E3F-21D8-445D-9584-AF1839F5CFF1}"/>
    <cellStyle name="Normal 4 2 2 3 2 2 2 6 3" xfId="11007" xr:uid="{008CEA93-6315-4851-8D6B-50318915CEB6}"/>
    <cellStyle name="Normal 4 2 2 3 2 2 2 7" xfId="4721" xr:uid="{00000000-0005-0000-0000-000009120000}"/>
    <cellStyle name="Normal 4 2 2 3 2 2 2 7 2" xfId="13160" xr:uid="{7659C60A-6010-481D-BFD8-6A6CF84213D4}"/>
    <cellStyle name="Normal 4 2 2 3 2 2 2 8" xfId="8942" xr:uid="{E520E722-97FB-494E-8A86-7047625D431B}"/>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5717" xr:uid="{05DC7B31-531E-4AAA-AB1F-C2FF5A1DCB7E}"/>
    <cellStyle name="Normal 4 2 2 3 2 2 3 2 3" xfId="11499" xr:uid="{D73FF9A5-35AF-4297-B9BE-E06F856C7F6E}"/>
    <cellStyle name="Normal 4 2 2 3 2 2 3 3" xfId="5133" xr:uid="{00000000-0005-0000-0000-00000D120000}"/>
    <cellStyle name="Normal 4 2 2 3 2 2 3 3 2" xfId="13572" xr:uid="{02D193B8-5781-49EE-B7B8-240FB714D523}"/>
    <cellStyle name="Normal 4 2 2 3 2 2 3 4" xfId="9354" xr:uid="{B8847127-5F18-4E16-AEFF-0B1FB45F317D}"/>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16130" xr:uid="{5FA96154-9045-44F3-820A-5E51FCA971B0}"/>
    <cellStyle name="Normal 4 2 2 3 2 2 4 2 3" xfId="11912" xr:uid="{CF895AC1-07F6-47B6-BF7B-9C7947A7E145}"/>
    <cellStyle name="Normal 4 2 2 3 2 2 4 3" xfId="5546" xr:uid="{00000000-0005-0000-0000-000011120000}"/>
    <cellStyle name="Normal 4 2 2 3 2 2 4 3 2" xfId="13985" xr:uid="{AE385593-1B56-49E7-BEC6-43084B256CC8}"/>
    <cellStyle name="Normal 4 2 2 3 2 2 4 4" xfId="9767" xr:uid="{1937A1A4-67F3-4F40-BB04-D041EAEB3C52}"/>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16543" xr:uid="{1963C970-6275-4C24-B967-2C1BD395BF38}"/>
    <cellStyle name="Normal 4 2 2 3 2 2 5 2 3" xfId="12325" xr:uid="{45437F9E-5FD5-4A7F-8081-BEEB78ABBBC2}"/>
    <cellStyle name="Normal 4 2 2 3 2 2 5 3" xfId="5959" xr:uid="{00000000-0005-0000-0000-000015120000}"/>
    <cellStyle name="Normal 4 2 2 3 2 2 5 3 2" xfId="14398" xr:uid="{F30EDF5B-E4B5-4CF0-B3BD-489CFF6AF14D}"/>
    <cellStyle name="Normal 4 2 2 3 2 2 5 4" xfId="10180" xr:uid="{A6075A94-09BA-429C-8C81-35B311CBD6B1}"/>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16956" xr:uid="{94FEA1C9-2B5C-4DD3-9EB6-88F7C6AF1DEC}"/>
    <cellStyle name="Normal 4 2 2 3 2 2 6 2 3" xfId="12738" xr:uid="{20019B58-54D2-445A-B084-A6535112C03E}"/>
    <cellStyle name="Normal 4 2 2 3 2 2 6 3" xfId="6372" xr:uid="{00000000-0005-0000-0000-000019120000}"/>
    <cellStyle name="Normal 4 2 2 3 2 2 6 3 2" xfId="14811" xr:uid="{D5E98233-C53A-4A35-AE60-60874518CED9}"/>
    <cellStyle name="Normal 4 2 2 3 2 2 6 4" xfId="10593" xr:uid="{B29ECF04-D115-4B77-9D31-7AF8A2661CA6}"/>
    <cellStyle name="Normal 4 2 2 3 2 2 7" xfId="2501" xr:uid="{00000000-0005-0000-0000-00001A120000}"/>
    <cellStyle name="Normal 4 2 2 3 2 2 7 2" xfId="6785" xr:uid="{00000000-0005-0000-0000-00001B120000}"/>
    <cellStyle name="Normal 4 2 2 3 2 2 7 2 2" xfId="15224" xr:uid="{6607D5E7-B3E7-4427-B797-AA4C089F967D}"/>
    <cellStyle name="Normal 4 2 2 3 2 2 7 3" xfId="11006" xr:uid="{C6EFB81A-26EC-4088-802E-695CA2DFE040}"/>
    <cellStyle name="Normal 4 2 2 3 2 2 8" xfId="4720" xr:uid="{00000000-0005-0000-0000-00001C120000}"/>
    <cellStyle name="Normal 4 2 2 3 2 2 8 2" xfId="13159" xr:uid="{56E58AE8-9893-4002-A16A-BC574F3CB221}"/>
    <cellStyle name="Normal 4 2 2 3 2 2 9" xfId="8941" xr:uid="{F57991A8-D03E-45C4-BD6E-5F8B44860847}"/>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5719" xr:uid="{EEE8B905-E40D-4FAF-AFB7-CDFBC7EC7B5A}"/>
    <cellStyle name="Normal 4 2 2 3 2 3 2 2 3" xfId="11501" xr:uid="{ACC92EEA-1E87-4907-8A98-EFFCADAB339E}"/>
    <cellStyle name="Normal 4 2 2 3 2 3 2 3" xfId="5135" xr:uid="{00000000-0005-0000-0000-000021120000}"/>
    <cellStyle name="Normal 4 2 2 3 2 3 2 3 2" xfId="13574" xr:uid="{C530E079-8DAF-4366-A334-DABC3E5AA5A3}"/>
    <cellStyle name="Normal 4 2 2 3 2 3 2 4" xfId="9356" xr:uid="{39C16F15-2F5C-489C-933A-671226BA3215}"/>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16132" xr:uid="{F95DD206-AA7F-4CB5-8464-208361390627}"/>
    <cellStyle name="Normal 4 2 2 3 2 3 3 2 3" xfId="11914" xr:uid="{7614C454-EC4D-4A77-BF43-9908C4EE01F5}"/>
    <cellStyle name="Normal 4 2 2 3 2 3 3 3" xfId="5548" xr:uid="{00000000-0005-0000-0000-000025120000}"/>
    <cellStyle name="Normal 4 2 2 3 2 3 3 3 2" xfId="13987" xr:uid="{3AFF9B13-13AB-4AFE-AFF6-80249FC97F3D}"/>
    <cellStyle name="Normal 4 2 2 3 2 3 3 4" xfId="9769" xr:uid="{671EAB01-D173-40B9-9DC8-EDCB3E8BE093}"/>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16545" xr:uid="{9640665D-0501-4806-943A-4EB4C8BD32C0}"/>
    <cellStyle name="Normal 4 2 2 3 2 3 4 2 3" xfId="12327" xr:uid="{B0B15F1F-68B1-46C7-9CF9-1BC8E341838B}"/>
    <cellStyle name="Normal 4 2 2 3 2 3 4 3" xfId="5961" xr:uid="{00000000-0005-0000-0000-000029120000}"/>
    <cellStyle name="Normal 4 2 2 3 2 3 4 3 2" xfId="14400" xr:uid="{B6315380-E7AC-4112-A25F-CFC319317212}"/>
    <cellStyle name="Normal 4 2 2 3 2 3 4 4" xfId="10182" xr:uid="{B70AB96E-22EF-4E0C-8139-2C0597EA0CEC}"/>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16958" xr:uid="{12EB6BB1-441F-4D87-9CC2-7DA6B056FED0}"/>
    <cellStyle name="Normal 4 2 2 3 2 3 5 2 3" xfId="12740" xr:uid="{8711289D-8A6C-4799-ADE6-ABBE004885C7}"/>
    <cellStyle name="Normal 4 2 2 3 2 3 5 3" xfId="6374" xr:uid="{00000000-0005-0000-0000-00002D120000}"/>
    <cellStyle name="Normal 4 2 2 3 2 3 5 3 2" xfId="14813" xr:uid="{83B01E37-8245-4685-B234-AE54EF53B644}"/>
    <cellStyle name="Normal 4 2 2 3 2 3 5 4" xfId="10595" xr:uid="{0646CCB1-3B37-4C96-9810-14327E29E545}"/>
    <cellStyle name="Normal 4 2 2 3 2 3 6" xfId="2503" xr:uid="{00000000-0005-0000-0000-00002E120000}"/>
    <cellStyle name="Normal 4 2 2 3 2 3 6 2" xfId="6787" xr:uid="{00000000-0005-0000-0000-00002F120000}"/>
    <cellStyle name="Normal 4 2 2 3 2 3 6 2 2" xfId="15226" xr:uid="{076E249E-959D-4BA0-A7DF-5E8D0097E10A}"/>
    <cellStyle name="Normal 4 2 2 3 2 3 6 3" xfId="11008" xr:uid="{C3170A15-4C94-4107-A006-1AE9C8A0E56C}"/>
    <cellStyle name="Normal 4 2 2 3 2 3 7" xfId="4722" xr:uid="{00000000-0005-0000-0000-000030120000}"/>
    <cellStyle name="Normal 4 2 2 3 2 3 7 2" xfId="13161" xr:uid="{5D05DBC5-42DE-4BDA-8DAE-B7D892E70164}"/>
    <cellStyle name="Normal 4 2 2 3 2 3 8" xfId="8943" xr:uid="{B12D5D47-FD6C-4E7D-AFAA-832EED7B4A8F}"/>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5716" xr:uid="{6369AD66-3CB2-4F75-B823-B2C6098660DC}"/>
    <cellStyle name="Normal 4 2 2 3 2 4 2 3" xfId="11498" xr:uid="{8C7DF2B8-E30A-432A-8200-9F6A8658DB77}"/>
    <cellStyle name="Normal 4 2 2 3 2 4 3" xfId="5132" xr:uid="{00000000-0005-0000-0000-000034120000}"/>
    <cellStyle name="Normal 4 2 2 3 2 4 3 2" xfId="13571" xr:uid="{B01F531E-2A62-446E-B156-D3390CE8659B}"/>
    <cellStyle name="Normal 4 2 2 3 2 4 4" xfId="9353" xr:uid="{405677E7-DA2A-49B4-892D-D8D4933463F1}"/>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16129" xr:uid="{34B243DE-55A5-454E-9407-9FCBEFBA26D9}"/>
    <cellStyle name="Normal 4 2 2 3 2 5 2 3" xfId="11911" xr:uid="{A6D40F77-D99A-4DC5-B0C1-359F5F1A1E09}"/>
    <cellStyle name="Normal 4 2 2 3 2 5 3" xfId="5545" xr:uid="{00000000-0005-0000-0000-000038120000}"/>
    <cellStyle name="Normal 4 2 2 3 2 5 3 2" xfId="13984" xr:uid="{0A17B901-7CC7-4D47-97CD-E9D45ACAA484}"/>
    <cellStyle name="Normal 4 2 2 3 2 5 4" xfId="9766" xr:uid="{8F08ADB0-7E4D-4B6A-A0BF-9CBFD64F2F22}"/>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16542" xr:uid="{9CCBF64C-BB9F-4333-9809-36AD1D7C02DC}"/>
    <cellStyle name="Normal 4 2 2 3 2 6 2 3" xfId="12324" xr:uid="{4C5C56B1-2A30-4F2A-9E8B-BBA2559D5C51}"/>
    <cellStyle name="Normal 4 2 2 3 2 6 3" xfId="5958" xr:uid="{00000000-0005-0000-0000-00003C120000}"/>
    <cellStyle name="Normal 4 2 2 3 2 6 3 2" xfId="14397" xr:uid="{C5AE036F-E02C-4E23-8E8D-0914193AE1C0}"/>
    <cellStyle name="Normal 4 2 2 3 2 6 4" xfId="10179" xr:uid="{69264688-3EE3-47E3-B8AF-F93DE568FA3A}"/>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16955" xr:uid="{DDAF9754-9164-4DAC-BF6E-2CA14099393B}"/>
    <cellStyle name="Normal 4 2 2 3 2 7 2 3" xfId="12737" xr:uid="{3B99C6C9-264B-4515-AFEB-895328AB866F}"/>
    <cellStyle name="Normal 4 2 2 3 2 7 3" xfId="6371" xr:uid="{00000000-0005-0000-0000-000040120000}"/>
    <cellStyle name="Normal 4 2 2 3 2 7 3 2" xfId="14810" xr:uid="{51E98274-63D4-479C-84FD-8CDC90E738F3}"/>
    <cellStyle name="Normal 4 2 2 3 2 7 4" xfId="10592" xr:uid="{9C200CA3-AABE-408A-A5F3-618CF7658282}"/>
    <cellStyle name="Normal 4 2 2 3 2 8" xfId="2500" xr:uid="{00000000-0005-0000-0000-000041120000}"/>
    <cellStyle name="Normal 4 2 2 3 2 8 2" xfId="6784" xr:uid="{00000000-0005-0000-0000-000042120000}"/>
    <cellStyle name="Normal 4 2 2 3 2 8 2 2" xfId="15223" xr:uid="{BA89218F-8F78-401D-A77E-82919DC5D5AC}"/>
    <cellStyle name="Normal 4 2 2 3 2 8 3" xfId="11005" xr:uid="{4C0E8224-FCEC-4866-82E9-3785F4174550}"/>
    <cellStyle name="Normal 4 2 2 3 2 9" xfId="4719" xr:uid="{00000000-0005-0000-0000-000043120000}"/>
    <cellStyle name="Normal 4 2 2 3 2 9 2" xfId="13158" xr:uid="{6F6371C0-D4F7-49E0-BFB6-BDD28832C1F9}"/>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5721" xr:uid="{282A3938-6975-4E00-8BF9-D8F3BDABD0A8}"/>
    <cellStyle name="Normal 4 2 2 3 3 2 2 2 3" xfId="11503" xr:uid="{0887B5D7-926D-4B1D-AC71-80BFBF67D5C6}"/>
    <cellStyle name="Normal 4 2 2 3 3 2 2 3" xfId="5137" xr:uid="{00000000-0005-0000-0000-000049120000}"/>
    <cellStyle name="Normal 4 2 2 3 3 2 2 3 2" xfId="13576" xr:uid="{B97B9B89-9C7C-4A22-B038-B0C983B13F23}"/>
    <cellStyle name="Normal 4 2 2 3 3 2 2 4" xfId="9358" xr:uid="{3465AA33-3F8A-42C8-ADF8-2CF5471FB7E8}"/>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16134" xr:uid="{5E486A85-DF17-4AF7-96BD-78F3CC251EBF}"/>
    <cellStyle name="Normal 4 2 2 3 3 2 3 2 3" xfId="11916" xr:uid="{F6810F6C-E6E3-43F1-83B0-1475A0FE0FA5}"/>
    <cellStyle name="Normal 4 2 2 3 3 2 3 3" xfId="5550" xr:uid="{00000000-0005-0000-0000-00004D120000}"/>
    <cellStyle name="Normal 4 2 2 3 3 2 3 3 2" xfId="13989" xr:uid="{EA4BE64B-49C6-4E70-AD28-B19A6ED378F6}"/>
    <cellStyle name="Normal 4 2 2 3 3 2 3 4" xfId="9771" xr:uid="{E8CD10BE-AC4C-46B4-90F1-0AF06E92BDD7}"/>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16547" xr:uid="{66D9A329-8058-4681-82E1-D5ECA4B9559A}"/>
    <cellStyle name="Normal 4 2 2 3 3 2 4 2 3" xfId="12329" xr:uid="{49766B6E-60D4-4B9B-AE79-24476ACCF955}"/>
    <cellStyle name="Normal 4 2 2 3 3 2 4 3" xfId="5963" xr:uid="{00000000-0005-0000-0000-000051120000}"/>
    <cellStyle name="Normal 4 2 2 3 3 2 4 3 2" xfId="14402" xr:uid="{862A62BD-3733-4F2F-BC1F-5246293A7AF9}"/>
    <cellStyle name="Normal 4 2 2 3 3 2 4 4" xfId="10184" xr:uid="{5775939F-7C35-4708-961C-9C373E7B208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16960" xr:uid="{90A8511A-6E7B-497D-971B-0044267065B2}"/>
    <cellStyle name="Normal 4 2 2 3 3 2 5 2 3" xfId="12742" xr:uid="{E8F53AFB-3F38-46F4-A2A5-A4A2D4704718}"/>
    <cellStyle name="Normal 4 2 2 3 3 2 5 3" xfId="6376" xr:uid="{00000000-0005-0000-0000-000055120000}"/>
    <cellStyle name="Normal 4 2 2 3 3 2 5 3 2" xfId="14815" xr:uid="{2F8A3B48-0644-43A8-82E7-D8446C057FB5}"/>
    <cellStyle name="Normal 4 2 2 3 3 2 5 4" xfId="10597" xr:uid="{EAD0F54A-5C9E-4716-88D2-BE7DA11D5B82}"/>
    <cellStyle name="Normal 4 2 2 3 3 2 6" xfId="2505" xr:uid="{00000000-0005-0000-0000-000056120000}"/>
    <cellStyle name="Normal 4 2 2 3 3 2 6 2" xfId="6789" xr:uid="{00000000-0005-0000-0000-000057120000}"/>
    <cellStyle name="Normal 4 2 2 3 3 2 6 2 2" xfId="15228" xr:uid="{EDC0F279-18E6-4BAC-8412-FCB02F731253}"/>
    <cellStyle name="Normal 4 2 2 3 3 2 6 3" xfId="11010" xr:uid="{FE14CA06-3201-4817-B5B1-16A4CE5BABD3}"/>
    <cellStyle name="Normal 4 2 2 3 3 2 7" xfId="4724" xr:uid="{00000000-0005-0000-0000-000058120000}"/>
    <cellStyle name="Normal 4 2 2 3 3 2 7 2" xfId="13163" xr:uid="{DC899EB6-A10A-4671-AE8C-00D5C8C12D8C}"/>
    <cellStyle name="Normal 4 2 2 3 3 2 8" xfId="8945" xr:uid="{347EA447-2864-4D56-8A88-5E417A4C93D9}"/>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5720" xr:uid="{14D689D6-3FE2-4603-868B-D3E9D9D7CA51}"/>
    <cellStyle name="Normal 4 2 2 3 3 3 2 3" xfId="11502" xr:uid="{B4CD7ED0-994D-4999-9861-D6F21770133E}"/>
    <cellStyle name="Normal 4 2 2 3 3 3 3" xfId="5136" xr:uid="{00000000-0005-0000-0000-00005C120000}"/>
    <cellStyle name="Normal 4 2 2 3 3 3 3 2" xfId="13575" xr:uid="{5ABD10B1-2CB7-4C67-AC98-489E99D917C9}"/>
    <cellStyle name="Normal 4 2 2 3 3 3 4" xfId="9357" xr:uid="{35C5BE5D-9D8B-4260-8399-920AE72443DF}"/>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16133" xr:uid="{B6AF39EA-07AC-42B9-BF12-662072A68F10}"/>
    <cellStyle name="Normal 4 2 2 3 3 4 2 3" xfId="11915" xr:uid="{066F0F68-BB94-4699-8653-4E161053F420}"/>
    <cellStyle name="Normal 4 2 2 3 3 4 3" xfId="5549" xr:uid="{00000000-0005-0000-0000-000060120000}"/>
    <cellStyle name="Normal 4 2 2 3 3 4 3 2" xfId="13988" xr:uid="{C531A6FE-F41F-4645-9EEE-B2F4482B82C6}"/>
    <cellStyle name="Normal 4 2 2 3 3 4 4" xfId="9770" xr:uid="{B5419B74-B528-42D5-BA62-8FB85B2AAA9C}"/>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16546" xr:uid="{5D00B6CC-FA60-4A55-AF87-4AAF220EC81C}"/>
    <cellStyle name="Normal 4 2 2 3 3 5 2 3" xfId="12328" xr:uid="{4E7A0C5D-80A3-4D14-A198-87CD491E942B}"/>
    <cellStyle name="Normal 4 2 2 3 3 5 3" xfId="5962" xr:uid="{00000000-0005-0000-0000-000064120000}"/>
    <cellStyle name="Normal 4 2 2 3 3 5 3 2" xfId="14401" xr:uid="{BDC33965-D32B-4A7A-88FB-FAEBFB920582}"/>
    <cellStyle name="Normal 4 2 2 3 3 5 4" xfId="10183" xr:uid="{E836C646-FD4B-4523-B0C3-C93CE86F8F21}"/>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16959" xr:uid="{D1BE316F-2AD8-490D-8E53-EFD924BA3614}"/>
    <cellStyle name="Normal 4 2 2 3 3 6 2 3" xfId="12741" xr:uid="{59C5A72A-C2A0-4451-A4A4-DBC136A1E543}"/>
    <cellStyle name="Normal 4 2 2 3 3 6 3" xfId="6375" xr:uid="{00000000-0005-0000-0000-000068120000}"/>
    <cellStyle name="Normal 4 2 2 3 3 6 3 2" xfId="14814" xr:uid="{74458AEF-D318-4124-9BD7-F918471B740E}"/>
    <cellStyle name="Normal 4 2 2 3 3 6 4" xfId="10596" xr:uid="{60EB4CE3-3893-4462-ACE0-5EDCC10D27EC}"/>
    <cellStyle name="Normal 4 2 2 3 3 7" xfId="2504" xr:uid="{00000000-0005-0000-0000-000069120000}"/>
    <cellStyle name="Normal 4 2 2 3 3 7 2" xfId="6788" xr:uid="{00000000-0005-0000-0000-00006A120000}"/>
    <cellStyle name="Normal 4 2 2 3 3 7 2 2" xfId="15227" xr:uid="{549F7657-499E-404E-BE3E-CC3FA8BDDBDF}"/>
    <cellStyle name="Normal 4 2 2 3 3 7 3" xfId="11009" xr:uid="{F8E38E26-8A89-4874-AAB1-C933A697F416}"/>
    <cellStyle name="Normal 4 2 2 3 3 8" xfId="4723" xr:uid="{00000000-0005-0000-0000-00006B120000}"/>
    <cellStyle name="Normal 4 2 2 3 3 8 2" xfId="13162" xr:uid="{B27D8F59-5278-41A4-9770-A2D33C830398}"/>
    <cellStyle name="Normal 4 2 2 3 3 9" xfId="8944" xr:uid="{3125EA72-0115-43D2-952E-82071E424EAA}"/>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5722" xr:uid="{EDE2C288-8668-4997-80E8-540BCAD4C9B6}"/>
    <cellStyle name="Normal 4 2 2 3 4 2 2 3" xfId="11504" xr:uid="{FA4EAAC6-5725-4FBC-B0D2-58B383AC6E3C}"/>
    <cellStyle name="Normal 4 2 2 3 4 2 3" xfId="5138" xr:uid="{00000000-0005-0000-0000-000070120000}"/>
    <cellStyle name="Normal 4 2 2 3 4 2 3 2" xfId="13577" xr:uid="{0226B63B-3B97-41A8-92A4-77FCF1FCC456}"/>
    <cellStyle name="Normal 4 2 2 3 4 2 4" xfId="9359" xr:uid="{ED7B33D2-E24D-42DF-807E-E4797A64DCA5}"/>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16135" xr:uid="{900A779D-3C99-4F63-9528-A0D44D8E3731}"/>
    <cellStyle name="Normal 4 2 2 3 4 3 2 3" xfId="11917" xr:uid="{1DB9A8FD-83CE-4BD9-9A07-58CCEDEEAF66}"/>
    <cellStyle name="Normal 4 2 2 3 4 3 3" xfId="5551" xr:uid="{00000000-0005-0000-0000-000074120000}"/>
    <cellStyle name="Normal 4 2 2 3 4 3 3 2" xfId="13990" xr:uid="{755DC87C-D461-4D73-BA4F-2C19C3A4CEDF}"/>
    <cellStyle name="Normal 4 2 2 3 4 3 4" xfId="9772" xr:uid="{A5F3D01C-EBF8-407D-A296-F355C12EC61D}"/>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16548" xr:uid="{9B9C6A1E-545C-4936-973D-710C092A0400}"/>
    <cellStyle name="Normal 4 2 2 3 4 4 2 3" xfId="12330" xr:uid="{81D494D1-7A2A-4B3F-A73F-937F852A7BB4}"/>
    <cellStyle name="Normal 4 2 2 3 4 4 3" xfId="5964" xr:uid="{00000000-0005-0000-0000-000078120000}"/>
    <cellStyle name="Normal 4 2 2 3 4 4 3 2" xfId="14403" xr:uid="{DDBD8355-D351-4643-9F65-435CD79DDF86}"/>
    <cellStyle name="Normal 4 2 2 3 4 4 4" xfId="10185" xr:uid="{9E104786-339F-4380-B25F-7CC20EDC2283}"/>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16961" xr:uid="{FA8D8B9F-6AD4-4B90-80E4-39F34CC475CF}"/>
    <cellStyle name="Normal 4 2 2 3 4 5 2 3" xfId="12743" xr:uid="{66B01D70-2EEC-4160-A034-F776C83FAAC7}"/>
    <cellStyle name="Normal 4 2 2 3 4 5 3" xfId="6377" xr:uid="{00000000-0005-0000-0000-00007C120000}"/>
    <cellStyle name="Normal 4 2 2 3 4 5 3 2" xfId="14816" xr:uid="{B104E768-43DD-4A5D-A9C6-35D1A0757885}"/>
    <cellStyle name="Normal 4 2 2 3 4 5 4" xfId="10598" xr:uid="{5DC575BE-75ED-4E9A-B4DB-5746647A1220}"/>
    <cellStyle name="Normal 4 2 2 3 4 6" xfId="2506" xr:uid="{00000000-0005-0000-0000-00007D120000}"/>
    <cellStyle name="Normal 4 2 2 3 4 6 2" xfId="6790" xr:uid="{00000000-0005-0000-0000-00007E120000}"/>
    <cellStyle name="Normal 4 2 2 3 4 6 2 2" xfId="15229" xr:uid="{7ADE02FB-300D-402A-9449-4172E027E3E0}"/>
    <cellStyle name="Normal 4 2 2 3 4 6 3" xfId="11011" xr:uid="{10FE8286-64C9-4F47-8E11-F5F18BFA37F4}"/>
    <cellStyle name="Normal 4 2 2 3 4 7" xfId="4725" xr:uid="{00000000-0005-0000-0000-00007F120000}"/>
    <cellStyle name="Normal 4 2 2 3 4 7 2" xfId="13164" xr:uid="{8D80325E-C152-4904-851D-D5872DD6C88D}"/>
    <cellStyle name="Normal 4 2 2 3 4 8" xfId="8946" xr:uid="{78A1EC8B-E7DC-4822-B707-EC269BBA58EA}"/>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5715" xr:uid="{71B01D8E-31AF-463F-B083-A80AEDCC5C8F}"/>
    <cellStyle name="Normal 4 2 2 3 5 2 3" xfId="11497" xr:uid="{76625F6C-82DF-416A-9632-9D6A7542C8B1}"/>
    <cellStyle name="Normal 4 2 2 3 5 3" xfId="5131" xr:uid="{00000000-0005-0000-0000-000083120000}"/>
    <cellStyle name="Normal 4 2 2 3 5 3 2" xfId="13570" xr:uid="{4065B5F5-20EA-4652-BA24-CF97C60882B6}"/>
    <cellStyle name="Normal 4 2 2 3 5 4" xfId="9352" xr:uid="{A33B2911-7558-436E-B961-C3ED62AD601D}"/>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16128" xr:uid="{DDB6B0E1-8D62-48A1-8F61-B0F94937EEA7}"/>
    <cellStyle name="Normal 4 2 2 3 6 2 3" xfId="11910" xr:uid="{4E3C5D1C-5FC8-4CFC-BC91-CC90D2BAA240}"/>
    <cellStyle name="Normal 4 2 2 3 6 3" xfId="5544" xr:uid="{00000000-0005-0000-0000-000087120000}"/>
    <cellStyle name="Normal 4 2 2 3 6 3 2" xfId="13983" xr:uid="{491537FE-3502-4EFC-AAF0-3A211A1F123E}"/>
    <cellStyle name="Normal 4 2 2 3 6 4" xfId="9765" xr:uid="{A58FFD1E-5EA9-40A7-B473-448797E6BDE4}"/>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16541" xr:uid="{8C94D414-375B-42D5-829A-66222F5C1BAD}"/>
    <cellStyle name="Normal 4 2 2 3 7 2 3" xfId="12323" xr:uid="{6617875B-4222-4CB5-BAB7-303AF706C24B}"/>
    <cellStyle name="Normal 4 2 2 3 7 3" xfId="5957" xr:uid="{00000000-0005-0000-0000-00008B120000}"/>
    <cellStyle name="Normal 4 2 2 3 7 3 2" xfId="14396" xr:uid="{143E602E-3557-4B03-913D-6CA939E18152}"/>
    <cellStyle name="Normal 4 2 2 3 7 4" xfId="10178" xr:uid="{7FABBE83-CEC8-47F9-9EE9-F1C088707A03}"/>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16954" xr:uid="{D6DCAD31-384A-46BA-AA43-8508A3DC9A8C}"/>
    <cellStyle name="Normal 4 2 2 3 8 2 3" xfId="12736" xr:uid="{2386D4FD-4116-490A-812D-36AAE1F8C60E}"/>
    <cellStyle name="Normal 4 2 2 3 8 3" xfId="6370" xr:uid="{00000000-0005-0000-0000-00008F120000}"/>
    <cellStyle name="Normal 4 2 2 3 8 3 2" xfId="14809" xr:uid="{C22391A5-3344-4E2C-8A8C-A53A81E03866}"/>
    <cellStyle name="Normal 4 2 2 3 8 4" xfId="10591" xr:uid="{2EDEAFFB-BF29-4970-B686-25601276CF31}"/>
    <cellStyle name="Normal 4 2 2 3 9" xfId="2499" xr:uid="{00000000-0005-0000-0000-000090120000}"/>
    <cellStyle name="Normal 4 2 2 3 9 2" xfId="6783" xr:uid="{00000000-0005-0000-0000-000091120000}"/>
    <cellStyle name="Normal 4 2 2 3 9 2 2" xfId="15222" xr:uid="{097D9F1D-FCC2-49D4-9AC0-873270D6A7B1}"/>
    <cellStyle name="Normal 4 2 2 3 9 3" xfId="11004" xr:uid="{FB8F2117-F667-441A-B4BA-108901749B6C}"/>
    <cellStyle name="Normal 4 2 2 4" xfId="347" xr:uid="{00000000-0005-0000-0000-000092120000}"/>
    <cellStyle name="Normal 4 2 2 4 10" xfId="8947" xr:uid="{10BC8816-1533-41EE-B24A-C022468C1974}"/>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5725" xr:uid="{EB72C036-6028-47D3-BAEA-86586E650690}"/>
    <cellStyle name="Normal 4 2 2 4 2 2 2 2 3" xfId="11507" xr:uid="{7A5541E3-E8C1-4A06-9C0C-3C365E4A0C64}"/>
    <cellStyle name="Normal 4 2 2 4 2 2 2 3" xfId="5141" xr:uid="{00000000-0005-0000-0000-000098120000}"/>
    <cellStyle name="Normal 4 2 2 4 2 2 2 3 2" xfId="13580" xr:uid="{5830BB55-2105-48D0-A1F0-61DB0AEF0624}"/>
    <cellStyle name="Normal 4 2 2 4 2 2 2 4" xfId="9362" xr:uid="{3119E2E4-E20F-4B24-8C49-A93374377B46}"/>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16138" xr:uid="{C85C2720-C24E-4461-BD2B-C72491EC23E7}"/>
    <cellStyle name="Normal 4 2 2 4 2 2 3 2 3" xfId="11920" xr:uid="{FF5AE056-0692-4BB2-A680-65B2AD3ECFCD}"/>
    <cellStyle name="Normal 4 2 2 4 2 2 3 3" xfId="5554" xr:uid="{00000000-0005-0000-0000-00009C120000}"/>
    <cellStyle name="Normal 4 2 2 4 2 2 3 3 2" xfId="13993" xr:uid="{B009D374-82D1-4945-A495-5803BBC62B28}"/>
    <cellStyle name="Normal 4 2 2 4 2 2 3 4" xfId="9775" xr:uid="{D11A6BEB-61EA-401C-B04B-FCE4A7764B3E}"/>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16551" xr:uid="{04BA184F-B8EC-45F0-8168-23FCF80979E4}"/>
    <cellStyle name="Normal 4 2 2 4 2 2 4 2 3" xfId="12333" xr:uid="{D2BFB9DE-F79A-428F-A816-4CD6AE2F2E0C}"/>
    <cellStyle name="Normal 4 2 2 4 2 2 4 3" xfId="5967" xr:uid="{00000000-0005-0000-0000-0000A0120000}"/>
    <cellStyle name="Normal 4 2 2 4 2 2 4 3 2" xfId="14406" xr:uid="{508D5481-CF46-4C5F-9A52-2464F836C724}"/>
    <cellStyle name="Normal 4 2 2 4 2 2 4 4" xfId="10188" xr:uid="{748C4FA8-AF45-45CF-A5A3-B4166C3694E4}"/>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16964" xr:uid="{6CAD3D55-5534-4C3D-B5FF-E77D8AFB4122}"/>
    <cellStyle name="Normal 4 2 2 4 2 2 5 2 3" xfId="12746" xr:uid="{F96CBFAF-B167-4B02-9B61-947BCCBD51C3}"/>
    <cellStyle name="Normal 4 2 2 4 2 2 5 3" xfId="6380" xr:uid="{00000000-0005-0000-0000-0000A4120000}"/>
    <cellStyle name="Normal 4 2 2 4 2 2 5 3 2" xfId="14819" xr:uid="{08F6F247-732F-4603-8042-4CC1525212EB}"/>
    <cellStyle name="Normal 4 2 2 4 2 2 5 4" xfId="10601" xr:uid="{74D2EC8F-88FC-469B-A5F5-F3E2F69740C5}"/>
    <cellStyle name="Normal 4 2 2 4 2 2 6" xfId="2509" xr:uid="{00000000-0005-0000-0000-0000A5120000}"/>
    <cellStyle name="Normal 4 2 2 4 2 2 6 2" xfId="6793" xr:uid="{00000000-0005-0000-0000-0000A6120000}"/>
    <cellStyle name="Normal 4 2 2 4 2 2 6 2 2" xfId="15232" xr:uid="{5CF397A6-4D9A-4449-9D44-CBB0E5E9993D}"/>
    <cellStyle name="Normal 4 2 2 4 2 2 6 3" xfId="11014" xr:uid="{EAF25337-B8E0-43DC-B072-D65E50096F47}"/>
    <cellStyle name="Normal 4 2 2 4 2 2 7" xfId="4728" xr:uid="{00000000-0005-0000-0000-0000A7120000}"/>
    <cellStyle name="Normal 4 2 2 4 2 2 7 2" xfId="13167" xr:uid="{E0DC36B2-93A4-4136-8D7C-0F4BF4B058E6}"/>
    <cellStyle name="Normal 4 2 2 4 2 2 8" xfId="8949" xr:uid="{BED99EA1-1775-4B53-9C0E-C3F4AF763433}"/>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5724" xr:uid="{FDCF2D1F-29AA-4DCC-A354-7E77A2070006}"/>
    <cellStyle name="Normal 4 2 2 4 2 3 2 3" xfId="11506" xr:uid="{B223984A-4A42-4235-A25F-23B0963311C9}"/>
    <cellStyle name="Normal 4 2 2 4 2 3 3" xfId="5140" xr:uid="{00000000-0005-0000-0000-0000AB120000}"/>
    <cellStyle name="Normal 4 2 2 4 2 3 3 2" xfId="13579" xr:uid="{055BAEDB-9B3D-41E0-BC68-95D86F777843}"/>
    <cellStyle name="Normal 4 2 2 4 2 3 4" xfId="9361" xr:uid="{EB085D1C-9C41-4541-A651-0AE578A9A6F3}"/>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16137" xr:uid="{42043ED7-7F3C-4674-87D0-11432EA0CEB6}"/>
    <cellStyle name="Normal 4 2 2 4 2 4 2 3" xfId="11919" xr:uid="{E23CD82E-CC67-4493-8717-24DE503F0F50}"/>
    <cellStyle name="Normal 4 2 2 4 2 4 3" xfId="5553" xr:uid="{00000000-0005-0000-0000-0000AF120000}"/>
    <cellStyle name="Normal 4 2 2 4 2 4 3 2" xfId="13992" xr:uid="{0816FB65-848B-4603-A3D6-004B9B4C22FA}"/>
    <cellStyle name="Normal 4 2 2 4 2 4 4" xfId="9774" xr:uid="{C444C839-1112-4389-86BF-F38C01145F7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16550" xr:uid="{71B46F3D-13A3-413F-B085-4A723F591DD4}"/>
    <cellStyle name="Normal 4 2 2 4 2 5 2 3" xfId="12332" xr:uid="{EF4E97C9-9FD9-4187-9962-053A2E87AEDB}"/>
    <cellStyle name="Normal 4 2 2 4 2 5 3" xfId="5966" xr:uid="{00000000-0005-0000-0000-0000B3120000}"/>
    <cellStyle name="Normal 4 2 2 4 2 5 3 2" xfId="14405" xr:uid="{5648B43D-39D3-4419-A540-F52C5C5E546C}"/>
    <cellStyle name="Normal 4 2 2 4 2 5 4" xfId="10187" xr:uid="{E5646B04-14EA-436A-BC13-F3E493FA706A}"/>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16963" xr:uid="{FE094104-4DEC-4760-92D7-1A43B9C0383C}"/>
    <cellStyle name="Normal 4 2 2 4 2 6 2 3" xfId="12745" xr:uid="{BA5C42C0-C1E2-4E3C-AFA0-4BB57CFA3B78}"/>
    <cellStyle name="Normal 4 2 2 4 2 6 3" xfId="6379" xr:uid="{00000000-0005-0000-0000-0000B7120000}"/>
    <cellStyle name="Normal 4 2 2 4 2 6 3 2" xfId="14818" xr:uid="{3E2B0F70-F75C-43C2-9C10-771D39934CB4}"/>
    <cellStyle name="Normal 4 2 2 4 2 6 4" xfId="10600" xr:uid="{AB4831E0-B414-42AD-A58F-BE3593844AF8}"/>
    <cellStyle name="Normal 4 2 2 4 2 7" xfId="2508" xr:uid="{00000000-0005-0000-0000-0000B8120000}"/>
    <cellStyle name="Normal 4 2 2 4 2 7 2" xfId="6792" xr:uid="{00000000-0005-0000-0000-0000B9120000}"/>
    <cellStyle name="Normal 4 2 2 4 2 7 2 2" xfId="15231" xr:uid="{1760533A-C87B-4B91-9B3C-7011495D444C}"/>
    <cellStyle name="Normal 4 2 2 4 2 7 3" xfId="11013" xr:uid="{98514E61-68AC-4587-8657-1A8A98851CD1}"/>
    <cellStyle name="Normal 4 2 2 4 2 8" xfId="4727" xr:uid="{00000000-0005-0000-0000-0000BA120000}"/>
    <cellStyle name="Normal 4 2 2 4 2 8 2" xfId="13166" xr:uid="{6D9C8E1E-90B5-4DEB-82EE-9A6D29354AE8}"/>
    <cellStyle name="Normal 4 2 2 4 2 9" xfId="8948" xr:uid="{79161CAE-EBA2-43AE-8383-135CCE109A19}"/>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5726" xr:uid="{91D68861-36B8-46C5-A414-D085348FBA11}"/>
    <cellStyle name="Normal 4 2 2 4 3 2 2 3" xfId="11508" xr:uid="{31AC82AE-2F30-4F99-9E0E-EB60DF26D9E3}"/>
    <cellStyle name="Normal 4 2 2 4 3 2 3" xfId="5142" xr:uid="{00000000-0005-0000-0000-0000BF120000}"/>
    <cellStyle name="Normal 4 2 2 4 3 2 3 2" xfId="13581" xr:uid="{CBC65783-4E47-4272-BAA9-B03A94922651}"/>
    <cellStyle name="Normal 4 2 2 4 3 2 4" xfId="9363" xr:uid="{0F0F54EA-A2A9-42DB-9113-0B35D96F0064}"/>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16139" xr:uid="{20FC0718-A6CF-446C-A2B2-E73204B73584}"/>
    <cellStyle name="Normal 4 2 2 4 3 3 2 3" xfId="11921" xr:uid="{4224C20B-FD8F-4B9C-8594-5FAD118B46A2}"/>
    <cellStyle name="Normal 4 2 2 4 3 3 3" xfId="5555" xr:uid="{00000000-0005-0000-0000-0000C3120000}"/>
    <cellStyle name="Normal 4 2 2 4 3 3 3 2" xfId="13994" xr:uid="{2AFEB4D2-B1CD-4AD4-8AFC-92E527D4CDA6}"/>
    <cellStyle name="Normal 4 2 2 4 3 3 4" xfId="9776" xr:uid="{502FE888-70D2-4A52-BEE9-46BC4C190789}"/>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16552" xr:uid="{838AF36E-4603-484D-A6FB-069243D51BB3}"/>
    <cellStyle name="Normal 4 2 2 4 3 4 2 3" xfId="12334" xr:uid="{3B79C241-4078-4574-885C-9C9CBA0B8EB9}"/>
    <cellStyle name="Normal 4 2 2 4 3 4 3" xfId="5968" xr:uid="{00000000-0005-0000-0000-0000C7120000}"/>
    <cellStyle name="Normal 4 2 2 4 3 4 3 2" xfId="14407" xr:uid="{95248B08-5F20-4F6D-B07C-E7CC58C5CD37}"/>
    <cellStyle name="Normal 4 2 2 4 3 4 4" xfId="10189" xr:uid="{0E87E866-DC56-4087-8F84-B62ADD57504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16965" xr:uid="{8274A0B5-3793-407B-9C2A-D668D5D2CF2C}"/>
    <cellStyle name="Normal 4 2 2 4 3 5 2 3" xfId="12747" xr:uid="{4EC202CB-C445-4B2C-8202-1F76D6DA1592}"/>
    <cellStyle name="Normal 4 2 2 4 3 5 3" xfId="6381" xr:uid="{00000000-0005-0000-0000-0000CB120000}"/>
    <cellStyle name="Normal 4 2 2 4 3 5 3 2" xfId="14820" xr:uid="{7DADAC82-CE8C-4888-8E90-FE9A895E3F58}"/>
    <cellStyle name="Normal 4 2 2 4 3 5 4" xfId="10602" xr:uid="{2B257CD6-22E8-497A-9D7A-BB1F032D5E6B}"/>
    <cellStyle name="Normal 4 2 2 4 3 6" xfId="2510" xr:uid="{00000000-0005-0000-0000-0000CC120000}"/>
    <cellStyle name="Normal 4 2 2 4 3 6 2" xfId="6794" xr:uid="{00000000-0005-0000-0000-0000CD120000}"/>
    <cellStyle name="Normal 4 2 2 4 3 6 2 2" xfId="15233" xr:uid="{7611958C-E2AF-491F-BF37-2846E848C5A8}"/>
    <cellStyle name="Normal 4 2 2 4 3 6 3" xfId="11015" xr:uid="{DF9D3CCF-E55E-4DBE-B98E-8CB1CCF3D76C}"/>
    <cellStyle name="Normal 4 2 2 4 3 7" xfId="4729" xr:uid="{00000000-0005-0000-0000-0000CE120000}"/>
    <cellStyle name="Normal 4 2 2 4 3 7 2" xfId="13168" xr:uid="{91D2AB1D-5166-470B-9A51-14B6F73A807E}"/>
    <cellStyle name="Normal 4 2 2 4 3 8" xfId="8950" xr:uid="{E402EF5F-F33A-490D-9158-7FE2574DC392}"/>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5723" xr:uid="{98B9E436-BE3C-45A2-9880-137E104F387D}"/>
    <cellStyle name="Normal 4 2 2 4 4 2 3" xfId="11505" xr:uid="{F3EC1CE5-8418-4D2A-9F97-5F26D98E7EE1}"/>
    <cellStyle name="Normal 4 2 2 4 4 3" xfId="5139" xr:uid="{00000000-0005-0000-0000-0000D2120000}"/>
    <cellStyle name="Normal 4 2 2 4 4 3 2" xfId="13578" xr:uid="{3805808E-AFD5-44BD-8555-0B06A601FACE}"/>
    <cellStyle name="Normal 4 2 2 4 4 4" xfId="9360" xr:uid="{050BBB1F-D451-494E-AE7C-1A28904255F2}"/>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16136" xr:uid="{38051158-A9AD-4905-A032-AFE916C2F654}"/>
    <cellStyle name="Normal 4 2 2 4 5 2 3" xfId="11918" xr:uid="{544F688A-6DC5-4598-AC8F-888C79821FC5}"/>
    <cellStyle name="Normal 4 2 2 4 5 3" xfId="5552" xr:uid="{00000000-0005-0000-0000-0000D6120000}"/>
    <cellStyle name="Normal 4 2 2 4 5 3 2" xfId="13991" xr:uid="{0B1C3673-1002-4907-BB5E-71977B69B33F}"/>
    <cellStyle name="Normal 4 2 2 4 5 4" xfId="9773" xr:uid="{49942D61-F30F-4E6E-9AC6-96FC8D31E5B9}"/>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16549" xr:uid="{10CE94ED-1B56-4F50-9FD9-DEF3BFDEE8C2}"/>
    <cellStyle name="Normal 4 2 2 4 6 2 3" xfId="12331" xr:uid="{30E332D7-2065-46F3-B11C-A65B96B23634}"/>
    <cellStyle name="Normal 4 2 2 4 6 3" xfId="5965" xr:uid="{00000000-0005-0000-0000-0000DA120000}"/>
    <cellStyle name="Normal 4 2 2 4 6 3 2" xfId="14404" xr:uid="{CA24E0BC-1A0C-439F-A7E8-8746824C346C}"/>
    <cellStyle name="Normal 4 2 2 4 6 4" xfId="10186" xr:uid="{C3C44DA7-E20A-458E-9CE7-69D0425C95E9}"/>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16962" xr:uid="{3E10CEBF-856E-4E4C-BED7-0795DDA9B03F}"/>
    <cellStyle name="Normal 4 2 2 4 7 2 3" xfId="12744" xr:uid="{A4DC049F-438F-494D-A369-2EBEB5947E2D}"/>
    <cellStyle name="Normal 4 2 2 4 7 3" xfId="6378" xr:uid="{00000000-0005-0000-0000-0000DE120000}"/>
    <cellStyle name="Normal 4 2 2 4 7 3 2" xfId="14817" xr:uid="{B8240426-E766-4525-BBB9-FDCF7409D2EE}"/>
    <cellStyle name="Normal 4 2 2 4 7 4" xfId="10599" xr:uid="{9B678632-A9DE-458E-9476-FA190386E6D6}"/>
    <cellStyle name="Normal 4 2 2 4 8" xfId="2507" xr:uid="{00000000-0005-0000-0000-0000DF120000}"/>
    <cellStyle name="Normal 4 2 2 4 8 2" xfId="6791" xr:uid="{00000000-0005-0000-0000-0000E0120000}"/>
    <cellStyle name="Normal 4 2 2 4 8 2 2" xfId="15230" xr:uid="{C4E43753-4B5D-4C9A-BA2A-E95967D14C3F}"/>
    <cellStyle name="Normal 4 2 2 4 8 3" xfId="11012" xr:uid="{3ACAF96B-A116-4C76-922D-316DE0814B30}"/>
    <cellStyle name="Normal 4 2 2 4 9" xfId="4726" xr:uid="{00000000-0005-0000-0000-0000E1120000}"/>
    <cellStyle name="Normal 4 2 2 4 9 2" xfId="13165" xr:uid="{4A9E0B3B-A1F1-41E5-8FD2-47F8C0E088C5}"/>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5728" xr:uid="{05AB282D-C0C3-476A-AAD0-70D7C06A299B}"/>
    <cellStyle name="Normal 4 2 2 5 2 2 2 3" xfId="11510" xr:uid="{75BE6068-108E-40DC-B5F8-717552259B45}"/>
    <cellStyle name="Normal 4 2 2 5 2 2 3" xfId="5144" xr:uid="{00000000-0005-0000-0000-0000E7120000}"/>
    <cellStyle name="Normal 4 2 2 5 2 2 3 2" xfId="13583" xr:uid="{B034CEB5-6FA9-4E21-B767-8C37E96BE115}"/>
    <cellStyle name="Normal 4 2 2 5 2 2 4" xfId="9365" xr:uid="{03DC1B39-99A1-45F9-88A6-9B114C76EB75}"/>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16141" xr:uid="{8979136B-C9CA-41EA-8A64-4B5BC9739052}"/>
    <cellStyle name="Normal 4 2 2 5 2 3 2 3" xfId="11923" xr:uid="{C7B93A2E-510C-4D42-A82E-66CF7E35E55E}"/>
    <cellStyle name="Normal 4 2 2 5 2 3 3" xfId="5557" xr:uid="{00000000-0005-0000-0000-0000EB120000}"/>
    <cellStyle name="Normal 4 2 2 5 2 3 3 2" xfId="13996" xr:uid="{39E1BD13-AF6E-477D-B7ED-35EF55CF03D1}"/>
    <cellStyle name="Normal 4 2 2 5 2 3 4" xfId="9778" xr:uid="{2B6A7AFE-DEF6-437C-ACF9-FF1C654399EB}"/>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16554" xr:uid="{ADEC67A1-B894-4048-86A3-68C9C39BD3DC}"/>
    <cellStyle name="Normal 4 2 2 5 2 4 2 3" xfId="12336" xr:uid="{94AB50A7-F6D5-4BC9-B7DC-E9A5FF13E915}"/>
    <cellStyle name="Normal 4 2 2 5 2 4 3" xfId="5970" xr:uid="{00000000-0005-0000-0000-0000EF120000}"/>
    <cellStyle name="Normal 4 2 2 5 2 4 3 2" xfId="14409" xr:uid="{A47354E4-4930-4798-BC39-1E64F40536F8}"/>
    <cellStyle name="Normal 4 2 2 5 2 4 4" xfId="10191" xr:uid="{E5EFCB5A-E9F6-4C5D-8F0C-4FBCA67A0D32}"/>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16967" xr:uid="{DD779014-5A29-4129-8423-518A355110E6}"/>
    <cellStyle name="Normal 4 2 2 5 2 5 2 3" xfId="12749" xr:uid="{118D14C2-A83C-4B25-9D6A-69A8EA913F28}"/>
    <cellStyle name="Normal 4 2 2 5 2 5 3" xfId="6383" xr:uid="{00000000-0005-0000-0000-0000F3120000}"/>
    <cellStyle name="Normal 4 2 2 5 2 5 3 2" xfId="14822" xr:uid="{F73331B4-7D7C-4AA2-9383-4ED54B12B8E9}"/>
    <cellStyle name="Normal 4 2 2 5 2 5 4" xfId="10604" xr:uid="{D2CDA6C1-4F80-44B0-BE9F-995822ACF24C}"/>
    <cellStyle name="Normal 4 2 2 5 2 6" xfId="2512" xr:uid="{00000000-0005-0000-0000-0000F4120000}"/>
    <cellStyle name="Normal 4 2 2 5 2 6 2" xfId="6796" xr:uid="{00000000-0005-0000-0000-0000F5120000}"/>
    <cellStyle name="Normal 4 2 2 5 2 6 2 2" xfId="15235" xr:uid="{24DA7A5C-6151-4255-970A-BD32D594F671}"/>
    <cellStyle name="Normal 4 2 2 5 2 6 3" xfId="11017" xr:uid="{B2866AEB-427F-4B72-AAFE-DC8C7DEBED4A}"/>
    <cellStyle name="Normal 4 2 2 5 2 7" xfId="4731" xr:uid="{00000000-0005-0000-0000-0000F6120000}"/>
    <cellStyle name="Normal 4 2 2 5 2 7 2" xfId="13170" xr:uid="{161C6491-519A-4BD9-BEB7-93BFCD1CFB48}"/>
    <cellStyle name="Normal 4 2 2 5 2 8" xfId="8952" xr:uid="{F07DE515-7B9D-4014-9EC4-DD92036BC5CB}"/>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5727" xr:uid="{C955ECA4-E562-476A-A695-157504FC69C6}"/>
    <cellStyle name="Normal 4 2 2 5 3 2 3" xfId="11509" xr:uid="{8A890F35-E4E7-4B1F-B0AD-5DF064296582}"/>
    <cellStyle name="Normal 4 2 2 5 3 3" xfId="5143" xr:uid="{00000000-0005-0000-0000-0000FA120000}"/>
    <cellStyle name="Normal 4 2 2 5 3 3 2" xfId="13582" xr:uid="{39DAAA4A-2DE8-4DFE-A36A-B0C6DA582A50}"/>
    <cellStyle name="Normal 4 2 2 5 3 4" xfId="9364" xr:uid="{6A0540F9-D67B-485C-8699-05975B638710}"/>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16140" xr:uid="{A8E5D23E-1F00-491B-AE4A-69EEFD63FA33}"/>
    <cellStyle name="Normal 4 2 2 5 4 2 3" xfId="11922" xr:uid="{C5017D83-0F90-4222-9B58-A4B1A50BD1C5}"/>
    <cellStyle name="Normal 4 2 2 5 4 3" xfId="5556" xr:uid="{00000000-0005-0000-0000-0000FE120000}"/>
    <cellStyle name="Normal 4 2 2 5 4 3 2" xfId="13995" xr:uid="{3AE817BC-EB10-4E10-AFCA-4D93DF4A8626}"/>
    <cellStyle name="Normal 4 2 2 5 4 4" xfId="9777" xr:uid="{F3C2B64E-7898-4A94-945B-9C1D89239486}"/>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16553" xr:uid="{A44AD0D3-8499-48F8-99E5-D104CCC6E226}"/>
    <cellStyle name="Normal 4 2 2 5 5 2 3" xfId="12335" xr:uid="{83C34E13-E1EA-4749-91B3-6939DB78A534}"/>
    <cellStyle name="Normal 4 2 2 5 5 3" xfId="5969" xr:uid="{00000000-0005-0000-0000-000002130000}"/>
    <cellStyle name="Normal 4 2 2 5 5 3 2" xfId="14408" xr:uid="{76E57BB3-6A12-45CE-95BE-8E7CFDCCDE0C}"/>
    <cellStyle name="Normal 4 2 2 5 5 4" xfId="10190" xr:uid="{71C87EA9-6E98-4E3A-BB4C-FE15989473B7}"/>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16966" xr:uid="{361E362F-3533-4D36-8591-38DFE93989D3}"/>
    <cellStyle name="Normal 4 2 2 5 6 2 3" xfId="12748" xr:uid="{5AD49EE6-7795-4380-8219-C75D00A24809}"/>
    <cellStyle name="Normal 4 2 2 5 6 3" xfId="6382" xr:uid="{00000000-0005-0000-0000-000006130000}"/>
    <cellStyle name="Normal 4 2 2 5 6 3 2" xfId="14821" xr:uid="{49A668A6-D890-4790-806F-DA9FF1280CA5}"/>
    <cellStyle name="Normal 4 2 2 5 6 4" xfId="10603" xr:uid="{C018C30C-0960-46CD-9D5E-C048D215A848}"/>
    <cellStyle name="Normal 4 2 2 5 7" xfId="2511" xr:uid="{00000000-0005-0000-0000-000007130000}"/>
    <cellStyle name="Normal 4 2 2 5 7 2" xfId="6795" xr:uid="{00000000-0005-0000-0000-000008130000}"/>
    <cellStyle name="Normal 4 2 2 5 7 2 2" xfId="15234" xr:uid="{D36FEE28-55BE-4B5F-B2BF-A332286384C9}"/>
    <cellStyle name="Normal 4 2 2 5 7 3" xfId="11016" xr:uid="{DFE07D80-A95C-4017-B31A-4CBE45956137}"/>
    <cellStyle name="Normal 4 2 2 5 8" xfId="4730" xr:uid="{00000000-0005-0000-0000-000009130000}"/>
    <cellStyle name="Normal 4 2 2 5 8 2" xfId="13169" xr:uid="{B6B633C2-5DD3-4511-8B1F-694589516C22}"/>
    <cellStyle name="Normal 4 2 2 5 9" xfId="8951" xr:uid="{3A2623CA-77C5-4125-8E89-154BF16D3D34}"/>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5729" xr:uid="{FBD13E80-576C-422A-818D-871C558D2322}"/>
    <cellStyle name="Normal 4 2 2 6 2 2 3" xfId="11511" xr:uid="{222F0590-77DB-4279-9327-7EFC077009C6}"/>
    <cellStyle name="Normal 4 2 2 6 2 3" xfId="5145" xr:uid="{00000000-0005-0000-0000-00000E130000}"/>
    <cellStyle name="Normal 4 2 2 6 2 3 2" xfId="13584" xr:uid="{50A92702-F58F-4F77-9CBB-50BCF0F9F00A}"/>
    <cellStyle name="Normal 4 2 2 6 2 4" xfId="9366" xr:uid="{2F56DE50-0FF2-44DE-AF39-44247EE990B4}"/>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16142" xr:uid="{93AF0E6E-2ECD-45F9-AF89-CFB1D40746F3}"/>
    <cellStyle name="Normal 4 2 2 6 3 2 3" xfId="11924" xr:uid="{5B647837-223E-4E62-B0DE-1B25F2719EC6}"/>
    <cellStyle name="Normal 4 2 2 6 3 3" xfId="5558" xr:uid="{00000000-0005-0000-0000-000012130000}"/>
    <cellStyle name="Normal 4 2 2 6 3 3 2" xfId="13997" xr:uid="{0D64C201-5C0D-42F0-8159-F061B83561BB}"/>
    <cellStyle name="Normal 4 2 2 6 3 4" xfId="9779" xr:uid="{94E86B8E-1146-4DDA-9137-52AD97E5A405}"/>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16555" xr:uid="{C6E5327F-EC93-42AA-AD70-EB4E2C3BB9C3}"/>
    <cellStyle name="Normal 4 2 2 6 4 2 3" xfId="12337" xr:uid="{436181EA-E258-4F0F-A979-F4D725C2E391}"/>
    <cellStyle name="Normal 4 2 2 6 4 3" xfId="5971" xr:uid="{00000000-0005-0000-0000-000016130000}"/>
    <cellStyle name="Normal 4 2 2 6 4 3 2" xfId="14410" xr:uid="{AB7362AB-82F4-4197-AF63-91BA40EE15B4}"/>
    <cellStyle name="Normal 4 2 2 6 4 4" xfId="10192" xr:uid="{B5055375-48CA-4EE3-9F8D-674DE9B62FE7}"/>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16968" xr:uid="{F19C39CE-999D-441C-A82D-3BAB9E67BCC0}"/>
    <cellStyle name="Normal 4 2 2 6 5 2 3" xfId="12750" xr:uid="{506DE0D6-4BE5-451F-9D05-75858BF02543}"/>
    <cellStyle name="Normal 4 2 2 6 5 3" xfId="6384" xr:uid="{00000000-0005-0000-0000-00001A130000}"/>
    <cellStyle name="Normal 4 2 2 6 5 3 2" xfId="14823" xr:uid="{932E4E0D-0505-4D45-9725-74D49254EA04}"/>
    <cellStyle name="Normal 4 2 2 6 5 4" xfId="10605" xr:uid="{90BFC4B5-3225-46C1-B474-F1F0919FAA89}"/>
    <cellStyle name="Normal 4 2 2 6 6" xfId="2513" xr:uid="{00000000-0005-0000-0000-00001B130000}"/>
    <cellStyle name="Normal 4 2 2 6 6 2" xfId="6797" xr:uid="{00000000-0005-0000-0000-00001C130000}"/>
    <cellStyle name="Normal 4 2 2 6 6 2 2" xfId="15236" xr:uid="{FEFE6113-F63E-488D-BE97-B4AA30414A39}"/>
    <cellStyle name="Normal 4 2 2 6 6 3" xfId="11018" xr:uid="{0D9C840C-8BE4-48FC-A4E7-400F80B7BDA4}"/>
    <cellStyle name="Normal 4 2 2 6 7" xfId="4732" xr:uid="{00000000-0005-0000-0000-00001D130000}"/>
    <cellStyle name="Normal 4 2 2 6 7 2" xfId="13171" xr:uid="{BE6956EE-7ECD-45F9-B619-977B6E0C59AC}"/>
    <cellStyle name="Normal 4 2 2 6 8" xfId="8953" xr:uid="{741945BD-5363-46FA-A530-6B6C22B3B6C5}"/>
    <cellStyle name="Normal 4 2 2 7" xfId="815" xr:uid="{00000000-0005-0000-0000-00001E130000}"/>
    <cellStyle name="Normal 4 2 2 7 2" xfId="3052" xr:uid="{00000000-0005-0000-0000-00001F130000}"/>
    <cellStyle name="Normal 4 2 2 7 2 2" xfId="7275" xr:uid="{00000000-0005-0000-0000-000020130000}"/>
    <cellStyle name="Normal 4 2 2 7 2 2 2" xfId="15714" xr:uid="{C279C4E0-52E4-4636-8994-14ADAAE8F9B2}"/>
    <cellStyle name="Normal 4 2 2 7 2 3" xfId="11496" xr:uid="{A1BC9442-C086-4725-8B4F-E7ED9FFFF41C}"/>
    <cellStyle name="Normal 4 2 2 7 3" xfId="5130" xr:uid="{00000000-0005-0000-0000-000021130000}"/>
    <cellStyle name="Normal 4 2 2 7 3 2" xfId="13569" xr:uid="{4E35E039-660D-4FD9-9288-DBFC8DD3C0FB}"/>
    <cellStyle name="Normal 4 2 2 7 4" xfId="9351" xr:uid="{348CE5DE-788F-4CED-A317-A20FEAE1470F}"/>
    <cellStyle name="Normal 4 2 2 8" xfId="1235" xr:uid="{00000000-0005-0000-0000-000022130000}"/>
    <cellStyle name="Normal 4 2 2 8 2" xfId="3465" xr:uid="{00000000-0005-0000-0000-000023130000}"/>
    <cellStyle name="Normal 4 2 2 8 2 2" xfId="7688" xr:uid="{00000000-0005-0000-0000-000024130000}"/>
    <cellStyle name="Normal 4 2 2 8 2 2 2" xfId="16127" xr:uid="{A2CA4DA3-6E8D-4A45-B6DE-7AC0120D286D}"/>
    <cellStyle name="Normal 4 2 2 8 2 3" xfId="11909" xr:uid="{A7A0C634-43BF-41B9-9E12-91F76F702025}"/>
    <cellStyle name="Normal 4 2 2 8 3" xfId="5543" xr:uid="{00000000-0005-0000-0000-000025130000}"/>
    <cellStyle name="Normal 4 2 2 8 3 2" xfId="13982" xr:uid="{EB2A41F2-EDFF-4BD3-95BD-6DB955F5F878}"/>
    <cellStyle name="Normal 4 2 2 8 4" xfId="9764" xr:uid="{F2E837A3-6907-411E-A1BD-E25A326FBB9C}"/>
    <cellStyle name="Normal 4 2 2 9" xfId="1648" xr:uid="{00000000-0005-0000-0000-000026130000}"/>
    <cellStyle name="Normal 4 2 2 9 2" xfId="3878" xr:uid="{00000000-0005-0000-0000-000027130000}"/>
    <cellStyle name="Normal 4 2 2 9 2 2" xfId="8101" xr:uid="{00000000-0005-0000-0000-000028130000}"/>
    <cellStyle name="Normal 4 2 2 9 2 2 2" xfId="16540" xr:uid="{002F26D6-6EFC-4CB8-86D4-A60C487047E5}"/>
    <cellStyle name="Normal 4 2 2 9 2 3" xfId="12322" xr:uid="{6F037FEB-8438-49D6-9562-DE37BF9FA39F}"/>
    <cellStyle name="Normal 4 2 2 9 3" xfId="5956" xr:uid="{00000000-0005-0000-0000-000029130000}"/>
    <cellStyle name="Normal 4 2 2 9 3 2" xfId="14395" xr:uid="{354ADE08-55ED-4E27-927F-82EE78E80B39}"/>
    <cellStyle name="Normal 4 2 2 9 4" xfId="10177" xr:uid="{EDFC9AF8-E09F-4078-9D6F-4B7E2DA5920C}"/>
    <cellStyle name="Normal 4 2 3" xfId="354" xr:uid="{00000000-0005-0000-0000-00002A130000}"/>
    <cellStyle name="Normal 4 2 4" xfId="355" xr:uid="{00000000-0005-0000-0000-00002B130000}"/>
    <cellStyle name="Normal 4 2 4 10" xfId="4733" xr:uid="{00000000-0005-0000-0000-00002C130000}"/>
    <cellStyle name="Normal 4 2 4 10 2" xfId="13172" xr:uid="{E089E33E-4F1F-4BB8-89D6-E8FACFFA7F6F}"/>
    <cellStyle name="Normal 4 2 4 11" xfId="8954" xr:uid="{F3D1A8A4-63CA-413E-9B45-AD936B050A32}"/>
    <cellStyle name="Normal 4 2 4 2" xfId="356" xr:uid="{00000000-0005-0000-0000-00002D130000}"/>
    <cellStyle name="Normal 4 2 4 2 10" xfId="8955" xr:uid="{3B90F4A5-2D96-4FDD-B4A5-07888B2BB95D}"/>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5733" xr:uid="{BDE86EFE-B98D-430E-950C-06ECD6D61D44}"/>
    <cellStyle name="Normal 4 2 4 2 2 2 2 2 3" xfId="11515" xr:uid="{D2DBB26C-C590-42DE-8EC6-FB15A057F680}"/>
    <cellStyle name="Normal 4 2 4 2 2 2 2 3" xfId="5149" xr:uid="{00000000-0005-0000-0000-000033130000}"/>
    <cellStyle name="Normal 4 2 4 2 2 2 2 3 2" xfId="13588" xr:uid="{1CF8221A-E8F6-46A3-9FF2-0D9DCA1BA30D}"/>
    <cellStyle name="Normal 4 2 4 2 2 2 2 4" xfId="9370" xr:uid="{261F2C2F-4E8F-425F-9C42-F762F5B355D3}"/>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16146" xr:uid="{1A211AE4-39F6-4B3F-821C-19273E0F5C28}"/>
    <cellStyle name="Normal 4 2 4 2 2 2 3 2 3" xfId="11928" xr:uid="{25D65E1B-7275-410B-8C66-7F1DC7BFA19F}"/>
    <cellStyle name="Normal 4 2 4 2 2 2 3 3" xfId="5562" xr:uid="{00000000-0005-0000-0000-000037130000}"/>
    <cellStyle name="Normal 4 2 4 2 2 2 3 3 2" xfId="14001" xr:uid="{DBF46FD4-4766-4C1B-9E87-7CC8BC958ED5}"/>
    <cellStyle name="Normal 4 2 4 2 2 2 3 4" xfId="9783" xr:uid="{AC8E60E2-57E3-47F2-B830-CCF1B85B8521}"/>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16559" xr:uid="{FC7B4C9B-BC28-497C-BBD0-D44C506459A8}"/>
    <cellStyle name="Normal 4 2 4 2 2 2 4 2 3" xfId="12341" xr:uid="{F2282581-40AF-47C7-8C0E-8CABA7269761}"/>
    <cellStyle name="Normal 4 2 4 2 2 2 4 3" xfId="5975" xr:uid="{00000000-0005-0000-0000-00003B130000}"/>
    <cellStyle name="Normal 4 2 4 2 2 2 4 3 2" xfId="14414" xr:uid="{538791F6-B7BC-4DA9-870E-C709EE16E272}"/>
    <cellStyle name="Normal 4 2 4 2 2 2 4 4" xfId="10196" xr:uid="{DF18CB91-7A38-4F17-9166-F9067F01B63B}"/>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16972" xr:uid="{C4A34359-BBD2-4E25-A682-A609CC9BC3DA}"/>
    <cellStyle name="Normal 4 2 4 2 2 2 5 2 3" xfId="12754" xr:uid="{1C4A72CB-4932-48B0-A56B-BD1C08C27679}"/>
    <cellStyle name="Normal 4 2 4 2 2 2 5 3" xfId="6388" xr:uid="{00000000-0005-0000-0000-00003F130000}"/>
    <cellStyle name="Normal 4 2 4 2 2 2 5 3 2" xfId="14827" xr:uid="{93E318D2-A797-48AC-A0DE-456D786C2F16}"/>
    <cellStyle name="Normal 4 2 4 2 2 2 5 4" xfId="10609" xr:uid="{C8FEC885-AE2D-4FD5-A7CF-AEDE81364041}"/>
    <cellStyle name="Normal 4 2 4 2 2 2 6" xfId="2517" xr:uid="{00000000-0005-0000-0000-000040130000}"/>
    <cellStyle name="Normal 4 2 4 2 2 2 6 2" xfId="6801" xr:uid="{00000000-0005-0000-0000-000041130000}"/>
    <cellStyle name="Normal 4 2 4 2 2 2 6 2 2" xfId="15240" xr:uid="{C52EE31A-DC0E-47D0-AA50-939391072516}"/>
    <cellStyle name="Normal 4 2 4 2 2 2 6 3" xfId="11022" xr:uid="{3534E492-FD19-42CB-8D16-1889E9D7F67A}"/>
    <cellStyle name="Normal 4 2 4 2 2 2 7" xfId="4736" xr:uid="{00000000-0005-0000-0000-000042130000}"/>
    <cellStyle name="Normal 4 2 4 2 2 2 7 2" xfId="13175" xr:uid="{C0A04651-97F8-4C89-9262-721F65ECEE65}"/>
    <cellStyle name="Normal 4 2 4 2 2 2 8" xfId="8957" xr:uid="{B260B7C3-3A74-4089-945B-96D3EF6A4AAF}"/>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5732" xr:uid="{2CC1F5B9-377D-40E7-8CF1-55C4F9941D4B}"/>
    <cellStyle name="Normal 4 2 4 2 2 3 2 3" xfId="11514" xr:uid="{F5501AA0-01FE-4C10-8346-53DD09B906A9}"/>
    <cellStyle name="Normal 4 2 4 2 2 3 3" xfId="5148" xr:uid="{00000000-0005-0000-0000-000046130000}"/>
    <cellStyle name="Normal 4 2 4 2 2 3 3 2" xfId="13587" xr:uid="{0B007E73-4C2A-4F8F-A24B-AE30C9EB5BA4}"/>
    <cellStyle name="Normal 4 2 4 2 2 3 4" xfId="9369" xr:uid="{FDFDB83A-F9EF-4DC1-9CC1-58DFCB5B8B77}"/>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16145" xr:uid="{310AA744-7D9D-4DA4-BCA8-4614BA056C10}"/>
    <cellStyle name="Normal 4 2 4 2 2 4 2 3" xfId="11927" xr:uid="{C10778FE-14B8-453D-B849-3B5A8A57970E}"/>
    <cellStyle name="Normal 4 2 4 2 2 4 3" xfId="5561" xr:uid="{00000000-0005-0000-0000-00004A130000}"/>
    <cellStyle name="Normal 4 2 4 2 2 4 3 2" xfId="14000" xr:uid="{1E1E4680-BE4C-45C4-BF80-B04B3335749C}"/>
    <cellStyle name="Normal 4 2 4 2 2 4 4" xfId="9782" xr:uid="{16144610-2B79-45A9-83F0-FC7C1CF08356}"/>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16558" xr:uid="{BD975E96-6407-44C6-88A2-BCEA52819FC0}"/>
    <cellStyle name="Normal 4 2 4 2 2 5 2 3" xfId="12340" xr:uid="{88D25A0F-814D-4893-BE05-4656071FC7EA}"/>
    <cellStyle name="Normal 4 2 4 2 2 5 3" xfId="5974" xr:uid="{00000000-0005-0000-0000-00004E130000}"/>
    <cellStyle name="Normal 4 2 4 2 2 5 3 2" xfId="14413" xr:uid="{A21015D3-E025-46B5-83F8-EAA9976C067D}"/>
    <cellStyle name="Normal 4 2 4 2 2 5 4" xfId="10195" xr:uid="{E35E2471-9106-4AD3-9DDA-B1D54326742E}"/>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16971" xr:uid="{C4D8F298-A8FE-4173-AB37-268DBE4A48FB}"/>
    <cellStyle name="Normal 4 2 4 2 2 6 2 3" xfId="12753" xr:uid="{5DF08759-F440-4466-AE3C-E9DA240F4BEB}"/>
    <cellStyle name="Normal 4 2 4 2 2 6 3" xfId="6387" xr:uid="{00000000-0005-0000-0000-000052130000}"/>
    <cellStyle name="Normal 4 2 4 2 2 6 3 2" xfId="14826" xr:uid="{D714ADA3-5D50-4831-B3DB-7D4F5438053A}"/>
    <cellStyle name="Normal 4 2 4 2 2 6 4" xfId="10608" xr:uid="{46CC7EB8-01B3-4945-B896-C3E22B369582}"/>
    <cellStyle name="Normal 4 2 4 2 2 7" xfId="2516" xr:uid="{00000000-0005-0000-0000-000053130000}"/>
    <cellStyle name="Normal 4 2 4 2 2 7 2" xfId="6800" xr:uid="{00000000-0005-0000-0000-000054130000}"/>
    <cellStyle name="Normal 4 2 4 2 2 7 2 2" xfId="15239" xr:uid="{0787519C-6279-47E2-BA99-1B2066FBBC8F}"/>
    <cellStyle name="Normal 4 2 4 2 2 7 3" xfId="11021" xr:uid="{545367C5-51B2-47D5-9B9A-12C69605FBCD}"/>
    <cellStyle name="Normal 4 2 4 2 2 8" xfId="4735" xr:uid="{00000000-0005-0000-0000-000055130000}"/>
    <cellStyle name="Normal 4 2 4 2 2 8 2" xfId="13174" xr:uid="{D899DFE2-022A-4523-B009-594B5710B046}"/>
    <cellStyle name="Normal 4 2 4 2 2 9" xfId="8956" xr:uid="{3D9B1D9C-4029-4793-B1B8-5B16800C8E8A}"/>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5734" xr:uid="{9488BC25-6C42-4D2C-8739-EFEEE169B56C}"/>
    <cellStyle name="Normal 4 2 4 2 3 2 2 3" xfId="11516" xr:uid="{0823807E-9079-4A7E-A254-605151D713A1}"/>
    <cellStyle name="Normal 4 2 4 2 3 2 3" xfId="5150" xr:uid="{00000000-0005-0000-0000-00005A130000}"/>
    <cellStyle name="Normal 4 2 4 2 3 2 3 2" xfId="13589" xr:uid="{633BAE77-4F21-4C1F-96A1-6EF2EE617D7F}"/>
    <cellStyle name="Normal 4 2 4 2 3 2 4" xfId="9371" xr:uid="{9418F85D-A61D-4806-B545-588825C8371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16147" xr:uid="{2B6EC0C4-098D-4659-BE69-54B870F3E54B}"/>
    <cellStyle name="Normal 4 2 4 2 3 3 2 3" xfId="11929" xr:uid="{19A21E3C-0F3A-4C41-ABAB-53C9D4DB3B12}"/>
    <cellStyle name="Normal 4 2 4 2 3 3 3" xfId="5563" xr:uid="{00000000-0005-0000-0000-00005E130000}"/>
    <cellStyle name="Normal 4 2 4 2 3 3 3 2" xfId="14002" xr:uid="{170C4E08-B4E8-44ED-9E6E-A558462F77BB}"/>
    <cellStyle name="Normal 4 2 4 2 3 3 4" xfId="9784" xr:uid="{094CBEB0-23D4-4DF3-8C00-151BE6790C3D}"/>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16560" xr:uid="{205C62FC-9E46-4DD5-9369-A6BE7CAFF419}"/>
    <cellStyle name="Normal 4 2 4 2 3 4 2 3" xfId="12342" xr:uid="{6D3DD810-D56B-4300-AC6C-AD54B2DDAD41}"/>
    <cellStyle name="Normal 4 2 4 2 3 4 3" xfId="5976" xr:uid="{00000000-0005-0000-0000-000062130000}"/>
    <cellStyle name="Normal 4 2 4 2 3 4 3 2" xfId="14415" xr:uid="{635F06EB-9648-4CFC-B039-AB519126A674}"/>
    <cellStyle name="Normal 4 2 4 2 3 4 4" xfId="10197" xr:uid="{534A9146-0E1B-46D1-9C65-BC36FACBF79D}"/>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16973" xr:uid="{B6A4FF5A-D6F3-4542-8720-D29692E63B95}"/>
    <cellStyle name="Normal 4 2 4 2 3 5 2 3" xfId="12755" xr:uid="{9E77EE6C-46F5-4300-97F9-B28274F44F15}"/>
    <cellStyle name="Normal 4 2 4 2 3 5 3" xfId="6389" xr:uid="{00000000-0005-0000-0000-000066130000}"/>
    <cellStyle name="Normal 4 2 4 2 3 5 3 2" xfId="14828" xr:uid="{C981D975-5279-45FB-BC9E-8DAD0DC70B53}"/>
    <cellStyle name="Normal 4 2 4 2 3 5 4" xfId="10610" xr:uid="{405DA5BF-8F13-4079-BCD9-7E12748E60C1}"/>
    <cellStyle name="Normal 4 2 4 2 3 6" xfId="2518" xr:uid="{00000000-0005-0000-0000-000067130000}"/>
    <cellStyle name="Normal 4 2 4 2 3 6 2" xfId="6802" xr:uid="{00000000-0005-0000-0000-000068130000}"/>
    <cellStyle name="Normal 4 2 4 2 3 6 2 2" xfId="15241" xr:uid="{41698359-153F-4FEE-97E4-61A48C17977C}"/>
    <cellStyle name="Normal 4 2 4 2 3 6 3" xfId="11023" xr:uid="{9A4D2FD3-89E1-462E-B017-9FE39A22D64D}"/>
    <cellStyle name="Normal 4 2 4 2 3 7" xfId="4737" xr:uid="{00000000-0005-0000-0000-000069130000}"/>
    <cellStyle name="Normal 4 2 4 2 3 7 2" xfId="13176" xr:uid="{F80987E6-16B3-43F7-AD59-62E8E96DBA53}"/>
    <cellStyle name="Normal 4 2 4 2 3 8" xfId="8958" xr:uid="{2910CAA4-40A8-4E00-BD74-7E8C306225F4}"/>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5731" xr:uid="{81CDBC89-2FC0-4ED4-9367-008C1C0BC731}"/>
    <cellStyle name="Normal 4 2 4 2 4 2 3" xfId="11513" xr:uid="{9AF454A9-F54C-42BE-B9BD-198F11F69EE0}"/>
    <cellStyle name="Normal 4 2 4 2 4 3" xfId="5147" xr:uid="{00000000-0005-0000-0000-00006D130000}"/>
    <cellStyle name="Normal 4 2 4 2 4 3 2" xfId="13586" xr:uid="{428AB20B-F1AB-4578-B85C-2DFCA4294047}"/>
    <cellStyle name="Normal 4 2 4 2 4 4" xfId="9368" xr:uid="{D2751004-EC93-48A9-A34E-BBDB337A24DF}"/>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16144" xr:uid="{DA5AF4E3-45DB-4FCF-A935-739A10C860AD}"/>
    <cellStyle name="Normal 4 2 4 2 5 2 3" xfId="11926" xr:uid="{F5900319-A809-4C72-A04E-2472719ABA26}"/>
    <cellStyle name="Normal 4 2 4 2 5 3" xfId="5560" xr:uid="{00000000-0005-0000-0000-000071130000}"/>
    <cellStyle name="Normal 4 2 4 2 5 3 2" xfId="13999" xr:uid="{E80DB8BB-7E22-4873-BD10-BEA26152AE14}"/>
    <cellStyle name="Normal 4 2 4 2 5 4" xfId="9781" xr:uid="{E763BC87-A271-4E65-87DD-0558375146A5}"/>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16557" xr:uid="{4976D77D-A8DC-40C1-8845-FF611D98170F}"/>
    <cellStyle name="Normal 4 2 4 2 6 2 3" xfId="12339" xr:uid="{E0D0FBFD-1B8C-4BDD-B816-87653C35C2C6}"/>
    <cellStyle name="Normal 4 2 4 2 6 3" xfId="5973" xr:uid="{00000000-0005-0000-0000-000075130000}"/>
    <cellStyle name="Normal 4 2 4 2 6 3 2" xfId="14412" xr:uid="{31B444F5-BFE3-417D-8401-697FEF0FE3C0}"/>
    <cellStyle name="Normal 4 2 4 2 6 4" xfId="10194" xr:uid="{6AB6DD00-6E08-430F-9332-C815746C48B6}"/>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16970" xr:uid="{018C6FC4-D5C8-46D9-945B-6BB347AC95EE}"/>
    <cellStyle name="Normal 4 2 4 2 7 2 3" xfId="12752" xr:uid="{EFA8CA1C-1B66-4142-ADC8-0C505885EA2F}"/>
    <cellStyle name="Normal 4 2 4 2 7 3" xfId="6386" xr:uid="{00000000-0005-0000-0000-000079130000}"/>
    <cellStyle name="Normal 4 2 4 2 7 3 2" xfId="14825" xr:uid="{6ABC0760-5EA3-4E48-BF03-DFD422072E84}"/>
    <cellStyle name="Normal 4 2 4 2 7 4" xfId="10607" xr:uid="{A7E53FDD-200D-4449-A4C1-72072D7FE1FE}"/>
    <cellStyle name="Normal 4 2 4 2 8" xfId="2515" xr:uid="{00000000-0005-0000-0000-00007A130000}"/>
    <cellStyle name="Normal 4 2 4 2 8 2" xfId="6799" xr:uid="{00000000-0005-0000-0000-00007B130000}"/>
    <cellStyle name="Normal 4 2 4 2 8 2 2" xfId="15238" xr:uid="{D5885585-D44C-4CE0-ADB1-BAD1B5BC6521}"/>
    <cellStyle name="Normal 4 2 4 2 8 3" xfId="11020" xr:uid="{22B64FEB-CF83-437C-AA43-6BFCCD99DE9B}"/>
    <cellStyle name="Normal 4 2 4 2 9" xfId="4734" xr:uid="{00000000-0005-0000-0000-00007C130000}"/>
    <cellStyle name="Normal 4 2 4 2 9 2" xfId="13173" xr:uid="{FD5E3162-9FCD-4D2B-AE8D-9B59F6506CC3}"/>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5736" xr:uid="{AC6C44F5-F4E4-4FC8-8097-7F15ED7ED808}"/>
    <cellStyle name="Normal 4 2 4 3 2 2 2 3" xfId="11518" xr:uid="{E7AF1AEB-F8DA-48B2-84B2-26CE98459AF5}"/>
    <cellStyle name="Normal 4 2 4 3 2 2 3" xfId="5152" xr:uid="{00000000-0005-0000-0000-000082130000}"/>
    <cellStyle name="Normal 4 2 4 3 2 2 3 2" xfId="13591" xr:uid="{238BFA71-1D47-4CC7-B8AC-65E453A01839}"/>
    <cellStyle name="Normal 4 2 4 3 2 2 4" xfId="9373" xr:uid="{D14B05D3-0C38-4E38-8017-5038AC6EA86D}"/>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16149" xr:uid="{053A0DC5-E954-4994-A765-7A7734EA189B}"/>
    <cellStyle name="Normal 4 2 4 3 2 3 2 3" xfId="11931" xr:uid="{FAB2C65B-BE3B-4576-845F-3C9C1C23F257}"/>
    <cellStyle name="Normal 4 2 4 3 2 3 3" xfId="5565" xr:uid="{00000000-0005-0000-0000-000086130000}"/>
    <cellStyle name="Normal 4 2 4 3 2 3 3 2" xfId="14004" xr:uid="{F3001B38-8A3A-4386-A511-EF729AD2791D}"/>
    <cellStyle name="Normal 4 2 4 3 2 3 4" xfId="9786" xr:uid="{784960E3-547F-44BD-ABA7-03BBCFC3B256}"/>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16562" xr:uid="{FAAC01D6-45F9-451F-A47B-AA860259BE8B}"/>
    <cellStyle name="Normal 4 2 4 3 2 4 2 3" xfId="12344" xr:uid="{7FB630E1-AF8B-4D00-8C82-9096659C77FB}"/>
    <cellStyle name="Normal 4 2 4 3 2 4 3" xfId="5978" xr:uid="{00000000-0005-0000-0000-00008A130000}"/>
    <cellStyle name="Normal 4 2 4 3 2 4 3 2" xfId="14417" xr:uid="{BB6FDD86-8FFB-413F-BB15-2D9963942489}"/>
    <cellStyle name="Normal 4 2 4 3 2 4 4" xfId="10199" xr:uid="{A74F1B3D-1090-4B45-96AA-EC0F716F4B71}"/>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16975" xr:uid="{D5290460-E3B8-426A-8ED6-956F2F8E10B2}"/>
    <cellStyle name="Normal 4 2 4 3 2 5 2 3" xfId="12757" xr:uid="{FAD4B98B-501B-4182-AEF1-B73544D14041}"/>
    <cellStyle name="Normal 4 2 4 3 2 5 3" xfId="6391" xr:uid="{00000000-0005-0000-0000-00008E130000}"/>
    <cellStyle name="Normal 4 2 4 3 2 5 3 2" xfId="14830" xr:uid="{CAF5D43D-6810-4C15-8938-42D761FD48C0}"/>
    <cellStyle name="Normal 4 2 4 3 2 5 4" xfId="10612" xr:uid="{D880411A-278B-4217-A824-80BD94D9D0F8}"/>
    <cellStyle name="Normal 4 2 4 3 2 6" xfId="2520" xr:uid="{00000000-0005-0000-0000-00008F130000}"/>
    <cellStyle name="Normal 4 2 4 3 2 6 2" xfId="6804" xr:uid="{00000000-0005-0000-0000-000090130000}"/>
    <cellStyle name="Normal 4 2 4 3 2 6 2 2" xfId="15243" xr:uid="{A45248BB-80CC-48A8-A5E5-50FF0EB8C9BA}"/>
    <cellStyle name="Normal 4 2 4 3 2 6 3" xfId="11025" xr:uid="{2489B27E-1972-453D-BDB6-5FBD7B6F564E}"/>
    <cellStyle name="Normal 4 2 4 3 2 7" xfId="4739" xr:uid="{00000000-0005-0000-0000-000091130000}"/>
    <cellStyle name="Normal 4 2 4 3 2 7 2" xfId="13178" xr:uid="{39696306-A413-4F04-BAB6-57EBEA7D8B61}"/>
    <cellStyle name="Normal 4 2 4 3 2 8" xfId="8960" xr:uid="{4F5B492D-1ABA-46FF-8BC9-9D51140CE93B}"/>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5735" xr:uid="{E891AB48-895D-452F-8B95-72E614C74EC2}"/>
    <cellStyle name="Normal 4 2 4 3 3 2 3" xfId="11517" xr:uid="{71D36657-6AA5-4CB3-AE1F-D698C32E106D}"/>
    <cellStyle name="Normal 4 2 4 3 3 3" xfId="5151" xr:uid="{00000000-0005-0000-0000-000095130000}"/>
    <cellStyle name="Normal 4 2 4 3 3 3 2" xfId="13590" xr:uid="{EBA09318-F7BE-4D02-9C02-C57B559F76A1}"/>
    <cellStyle name="Normal 4 2 4 3 3 4" xfId="9372" xr:uid="{D268A73B-0DD4-443C-8CC0-962510E6BFC1}"/>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16148" xr:uid="{811FA88D-C993-4AE3-93F6-CCA55CAD3014}"/>
    <cellStyle name="Normal 4 2 4 3 4 2 3" xfId="11930" xr:uid="{C5DD8139-A060-4BB9-B9B6-C7C0414846E3}"/>
    <cellStyle name="Normal 4 2 4 3 4 3" xfId="5564" xr:uid="{00000000-0005-0000-0000-000099130000}"/>
    <cellStyle name="Normal 4 2 4 3 4 3 2" xfId="14003" xr:uid="{D3520316-65B5-4327-80B4-09F5EA21D4A0}"/>
    <cellStyle name="Normal 4 2 4 3 4 4" xfId="9785" xr:uid="{D675A118-4587-4D46-B224-1D9D0A1E5540}"/>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16561" xr:uid="{3EB2660A-51A3-43A6-B30A-D8C1496EBB85}"/>
    <cellStyle name="Normal 4 2 4 3 5 2 3" xfId="12343" xr:uid="{5CD7ACA2-4B17-4FA3-8791-820BDD370B52}"/>
    <cellStyle name="Normal 4 2 4 3 5 3" xfId="5977" xr:uid="{00000000-0005-0000-0000-00009D130000}"/>
    <cellStyle name="Normal 4 2 4 3 5 3 2" xfId="14416" xr:uid="{929CDAF8-4CBD-48B1-AFE7-5A252D7B063E}"/>
    <cellStyle name="Normal 4 2 4 3 5 4" xfId="10198" xr:uid="{8094B22C-FB0E-487E-A601-7F005C98D352}"/>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16974" xr:uid="{7D5D293C-55A2-4A06-9016-55709A1D3B2A}"/>
    <cellStyle name="Normal 4 2 4 3 6 2 3" xfId="12756" xr:uid="{39B10184-FC89-49E8-AEAE-A9A00ECCF08F}"/>
    <cellStyle name="Normal 4 2 4 3 6 3" xfId="6390" xr:uid="{00000000-0005-0000-0000-0000A1130000}"/>
    <cellStyle name="Normal 4 2 4 3 6 3 2" xfId="14829" xr:uid="{0DD6ADA0-7A46-411F-8A74-B208E376A524}"/>
    <cellStyle name="Normal 4 2 4 3 6 4" xfId="10611" xr:uid="{67BBC567-BF86-4C01-97FA-BE9180C732C5}"/>
    <cellStyle name="Normal 4 2 4 3 7" xfId="2519" xr:uid="{00000000-0005-0000-0000-0000A2130000}"/>
    <cellStyle name="Normal 4 2 4 3 7 2" xfId="6803" xr:uid="{00000000-0005-0000-0000-0000A3130000}"/>
    <cellStyle name="Normal 4 2 4 3 7 2 2" xfId="15242" xr:uid="{1D98ABD8-43C4-46C2-9CE8-BFEF378F072D}"/>
    <cellStyle name="Normal 4 2 4 3 7 3" xfId="11024" xr:uid="{236FBC42-BE02-425E-A5E0-A06A072D94C1}"/>
    <cellStyle name="Normal 4 2 4 3 8" xfId="4738" xr:uid="{00000000-0005-0000-0000-0000A4130000}"/>
    <cellStyle name="Normal 4 2 4 3 8 2" xfId="13177" xr:uid="{783A109B-3078-4724-B410-AB5914FCACEE}"/>
    <cellStyle name="Normal 4 2 4 3 9" xfId="8959" xr:uid="{3F898E6D-CBB6-4C96-B26D-1A2CAB426256}"/>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5737" xr:uid="{B9468747-0D54-467E-B71F-4AB55405046A}"/>
    <cellStyle name="Normal 4 2 4 4 2 2 3" xfId="11519" xr:uid="{50E1F9AF-4A1A-40AD-A9A7-45EE05D3C687}"/>
    <cellStyle name="Normal 4 2 4 4 2 3" xfId="5153" xr:uid="{00000000-0005-0000-0000-0000A9130000}"/>
    <cellStyle name="Normal 4 2 4 4 2 3 2" xfId="13592" xr:uid="{CE54F19C-6179-4A19-AE2A-4374418120BD}"/>
    <cellStyle name="Normal 4 2 4 4 2 4" xfId="9374" xr:uid="{F7E5E1C4-AD24-4381-A506-A05773FD7992}"/>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16150" xr:uid="{1DF7A8D4-A2CE-4905-B15F-FF758E8749B4}"/>
    <cellStyle name="Normal 4 2 4 4 3 2 3" xfId="11932" xr:uid="{BBA42A95-2ECE-4CB2-AF75-FFCACA377C46}"/>
    <cellStyle name="Normal 4 2 4 4 3 3" xfId="5566" xr:uid="{00000000-0005-0000-0000-0000AD130000}"/>
    <cellStyle name="Normal 4 2 4 4 3 3 2" xfId="14005" xr:uid="{3087AA76-8D8D-458A-B68B-D84F2E70E65B}"/>
    <cellStyle name="Normal 4 2 4 4 3 4" xfId="9787" xr:uid="{050A5576-DCB6-4BA7-AB75-C6EF17C2409A}"/>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16563" xr:uid="{87460192-6AE0-4D67-9CD3-CEF8058F8BCB}"/>
    <cellStyle name="Normal 4 2 4 4 4 2 3" xfId="12345" xr:uid="{BAA43C9D-6E7C-4ACD-BAD8-69CFA3803A2C}"/>
    <cellStyle name="Normal 4 2 4 4 4 3" xfId="5979" xr:uid="{00000000-0005-0000-0000-0000B1130000}"/>
    <cellStyle name="Normal 4 2 4 4 4 3 2" xfId="14418" xr:uid="{85283133-6BC7-4CCA-9132-8D93BE75483A}"/>
    <cellStyle name="Normal 4 2 4 4 4 4" xfId="10200" xr:uid="{0F573193-B9B1-4A6F-B4B7-8BB39599A755}"/>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16976" xr:uid="{66ABFC07-A523-4DA4-9F71-90A63F82C5B3}"/>
    <cellStyle name="Normal 4 2 4 4 5 2 3" xfId="12758" xr:uid="{08C89FDE-6625-491D-9A9E-C7AEAF3BA7CA}"/>
    <cellStyle name="Normal 4 2 4 4 5 3" xfId="6392" xr:uid="{00000000-0005-0000-0000-0000B5130000}"/>
    <cellStyle name="Normal 4 2 4 4 5 3 2" xfId="14831" xr:uid="{689DBF74-55D2-426D-98B8-DA553A3DCBA0}"/>
    <cellStyle name="Normal 4 2 4 4 5 4" xfId="10613" xr:uid="{951A8FA3-3D25-4E03-A3B4-F174A9732E51}"/>
    <cellStyle name="Normal 4 2 4 4 6" xfId="2521" xr:uid="{00000000-0005-0000-0000-0000B6130000}"/>
    <cellStyle name="Normal 4 2 4 4 6 2" xfId="6805" xr:uid="{00000000-0005-0000-0000-0000B7130000}"/>
    <cellStyle name="Normal 4 2 4 4 6 2 2" xfId="15244" xr:uid="{C7BB1C4E-4053-417F-A918-1248851889D1}"/>
    <cellStyle name="Normal 4 2 4 4 6 3" xfId="11026" xr:uid="{E34058B4-C25A-4ABD-BAC7-8975727B2613}"/>
    <cellStyle name="Normal 4 2 4 4 7" xfId="4740" xr:uid="{00000000-0005-0000-0000-0000B8130000}"/>
    <cellStyle name="Normal 4 2 4 4 7 2" xfId="13179" xr:uid="{720FAD7E-A45A-41ED-9145-2BD66D5A8942}"/>
    <cellStyle name="Normal 4 2 4 4 8" xfId="8961" xr:uid="{BBD84934-FD3B-4399-8DC4-CC3262EE9EA8}"/>
    <cellStyle name="Normal 4 2 4 5" xfId="831" xr:uid="{00000000-0005-0000-0000-0000B9130000}"/>
    <cellStyle name="Normal 4 2 4 5 2" xfId="3068" xr:uid="{00000000-0005-0000-0000-0000BA130000}"/>
    <cellStyle name="Normal 4 2 4 5 2 2" xfId="7291" xr:uid="{00000000-0005-0000-0000-0000BB130000}"/>
    <cellStyle name="Normal 4 2 4 5 2 2 2" xfId="15730" xr:uid="{D8B93591-5E6F-4A0A-82EC-2E068421BBC0}"/>
    <cellStyle name="Normal 4 2 4 5 2 3" xfId="11512" xr:uid="{73E8188C-5D05-4A48-8253-15370029A7E6}"/>
    <cellStyle name="Normal 4 2 4 5 3" xfId="5146" xr:uid="{00000000-0005-0000-0000-0000BC130000}"/>
    <cellStyle name="Normal 4 2 4 5 3 2" xfId="13585" xr:uid="{36DDCCD5-EC08-41ED-8363-CFB645C2C6D0}"/>
    <cellStyle name="Normal 4 2 4 5 4" xfId="9367" xr:uid="{2F623661-75FB-4DC3-9DAD-14B5C6F2A9B0}"/>
    <cellStyle name="Normal 4 2 4 6" xfId="1251" xr:uid="{00000000-0005-0000-0000-0000BD130000}"/>
    <cellStyle name="Normal 4 2 4 6 2" xfId="3481" xr:uid="{00000000-0005-0000-0000-0000BE130000}"/>
    <cellStyle name="Normal 4 2 4 6 2 2" xfId="7704" xr:uid="{00000000-0005-0000-0000-0000BF130000}"/>
    <cellStyle name="Normal 4 2 4 6 2 2 2" xfId="16143" xr:uid="{3DE1CE9E-8650-4EF0-9155-396B9BC2B9E2}"/>
    <cellStyle name="Normal 4 2 4 6 2 3" xfId="11925" xr:uid="{7AD11D88-107A-4F14-8B36-7627EA275D32}"/>
    <cellStyle name="Normal 4 2 4 6 3" xfId="5559" xr:uid="{00000000-0005-0000-0000-0000C0130000}"/>
    <cellStyle name="Normal 4 2 4 6 3 2" xfId="13998" xr:uid="{249D4A80-E3F5-43ED-AC0E-B4B4D096E8DD}"/>
    <cellStyle name="Normal 4 2 4 6 4" xfId="9780" xr:uid="{9B440088-FBCD-4450-94BB-71B4385E5E1A}"/>
    <cellStyle name="Normal 4 2 4 7" xfId="1664" xr:uid="{00000000-0005-0000-0000-0000C1130000}"/>
    <cellStyle name="Normal 4 2 4 7 2" xfId="3894" xr:uid="{00000000-0005-0000-0000-0000C2130000}"/>
    <cellStyle name="Normal 4 2 4 7 2 2" xfId="8117" xr:uid="{00000000-0005-0000-0000-0000C3130000}"/>
    <cellStyle name="Normal 4 2 4 7 2 2 2" xfId="16556" xr:uid="{FCB4897A-8CA3-4AF1-92BB-FD0D16CF08C1}"/>
    <cellStyle name="Normal 4 2 4 7 2 3" xfId="12338" xr:uid="{924425BE-A0A4-4ACB-8D82-B0FCA2F5457D}"/>
    <cellStyle name="Normal 4 2 4 7 3" xfId="5972" xr:uid="{00000000-0005-0000-0000-0000C4130000}"/>
    <cellStyle name="Normal 4 2 4 7 3 2" xfId="14411" xr:uid="{1D958231-FB75-4962-8CCD-7F9D59A1BC83}"/>
    <cellStyle name="Normal 4 2 4 7 4" xfId="10193" xr:uid="{154CC234-E801-4535-A3EF-ADF43326CC4D}"/>
    <cellStyle name="Normal 4 2 4 8" xfId="2078" xr:uid="{00000000-0005-0000-0000-0000C5130000}"/>
    <cellStyle name="Normal 4 2 4 8 2" xfId="4307" xr:uid="{00000000-0005-0000-0000-0000C6130000}"/>
    <cellStyle name="Normal 4 2 4 8 2 2" xfId="8530" xr:uid="{00000000-0005-0000-0000-0000C7130000}"/>
    <cellStyle name="Normal 4 2 4 8 2 2 2" xfId="16969" xr:uid="{45ACE744-D162-463C-B378-7B30A217BA77}"/>
    <cellStyle name="Normal 4 2 4 8 2 3" xfId="12751" xr:uid="{5416A427-3976-4B6D-916F-3411DC652642}"/>
    <cellStyle name="Normal 4 2 4 8 3" xfId="6385" xr:uid="{00000000-0005-0000-0000-0000C8130000}"/>
    <cellStyle name="Normal 4 2 4 8 3 2" xfId="14824" xr:uid="{DDC9585A-0F94-4D1C-A553-C0EC2E660559}"/>
    <cellStyle name="Normal 4 2 4 8 4" xfId="10606" xr:uid="{4C56956F-09FB-4CE9-A073-3643508D1F1F}"/>
    <cellStyle name="Normal 4 2 4 9" xfId="2514" xr:uid="{00000000-0005-0000-0000-0000C9130000}"/>
    <cellStyle name="Normal 4 2 4 9 2" xfId="6798" xr:uid="{00000000-0005-0000-0000-0000CA130000}"/>
    <cellStyle name="Normal 4 2 4 9 2 2" xfId="15237" xr:uid="{7540F213-9CA0-40CE-A9C4-077CBE9FE4E4}"/>
    <cellStyle name="Normal 4 2 4 9 3" xfId="11019" xr:uid="{9A1A9F46-42DD-402E-BF8C-C41388BC5EA7}"/>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5739" xr:uid="{32C4C7BE-2DE4-4232-94B0-80A372EFEA1A}"/>
    <cellStyle name="Normal 4 2 5 2 2 2 3" xfId="11521" xr:uid="{977256AF-7A2B-4BF4-A6B5-09B5BDFE4EEF}"/>
    <cellStyle name="Normal 4 2 5 2 2 3" xfId="5155" xr:uid="{00000000-0005-0000-0000-0000D0130000}"/>
    <cellStyle name="Normal 4 2 5 2 2 3 2" xfId="13594" xr:uid="{F4D90C0F-DBC7-4142-9C8D-C2D397330C65}"/>
    <cellStyle name="Normal 4 2 5 2 2 4" xfId="9376" xr:uid="{67D9CD8F-0176-4480-BC87-E102BE614F3A}"/>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16152" xr:uid="{6486B5FD-1933-4336-938D-058A0B0FF0B3}"/>
    <cellStyle name="Normal 4 2 5 2 3 2 3" xfId="11934" xr:uid="{E2F3A0D6-7FB0-4106-BFEE-30D6DDC4CEFE}"/>
    <cellStyle name="Normal 4 2 5 2 3 3" xfId="5568" xr:uid="{00000000-0005-0000-0000-0000D4130000}"/>
    <cellStyle name="Normal 4 2 5 2 3 3 2" xfId="14007" xr:uid="{4ED47ED7-6918-4505-A97D-B04EDABA196F}"/>
    <cellStyle name="Normal 4 2 5 2 3 4" xfId="9789" xr:uid="{11B39233-4EA1-4ECE-B6DE-016ABD21B1F3}"/>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16565" xr:uid="{07F493C5-F993-4214-B44E-FE3AF22F87F2}"/>
    <cellStyle name="Normal 4 2 5 2 4 2 3" xfId="12347" xr:uid="{30853278-9235-440C-8243-743D9B9E334D}"/>
    <cellStyle name="Normal 4 2 5 2 4 3" xfId="5981" xr:uid="{00000000-0005-0000-0000-0000D8130000}"/>
    <cellStyle name="Normal 4 2 5 2 4 3 2" xfId="14420" xr:uid="{6282132B-7B71-4E92-B1A0-8B5C4A5B53D8}"/>
    <cellStyle name="Normal 4 2 5 2 4 4" xfId="10202" xr:uid="{BD057B90-7F1B-49EC-83E6-992A838C8CCA}"/>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16978" xr:uid="{86AB12E6-AF3F-423B-880B-35B46B20CAAA}"/>
    <cellStyle name="Normal 4 2 5 2 5 2 3" xfId="12760" xr:uid="{637064EE-587A-4DAF-9786-569CA937333F}"/>
    <cellStyle name="Normal 4 2 5 2 5 3" xfId="6394" xr:uid="{00000000-0005-0000-0000-0000DC130000}"/>
    <cellStyle name="Normal 4 2 5 2 5 3 2" xfId="14833" xr:uid="{07290C87-2818-4862-A083-4141B2FB4E58}"/>
    <cellStyle name="Normal 4 2 5 2 5 4" xfId="10615" xr:uid="{B4723598-7238-4DF7-96E0-3591DFCBDB19}"/>
    <cellStyle name="Normal 4 2 5 2 6" xfId="2523" xr:uid="{00000000-0005-0000-0000-0000DD130000}"/>
    <cellStyle name="Normal 4 2 5 2 6 2" xfId="6807" xr:uid="{00000000-0005-0000-0000-0000DE130000}"/>
    <cellStyle name="Normal 4 2 5 2 6 2 2" xfId="15246" xr:uid="{DA7C92C8-12E9-45C1-8D01-674875B00886}"/>
    <cellStyle name="Normal 4 2 5 2 6 3" xfId="11028" xr:uid="{50707A41-E69F-4C52-A30E-C36A63D143C5}"/>
    <cellStyle name="Normal 4 2 5 2 7" xfId="4742" xr:uid="{00000000-0005-0000-0000-0000DF130000}"/>
    <cellStyle name="Normal 4 2 5 2 7 2" xfId="13181" xr:uid="{26750EFD-597F-4C47-BFCD-50ED0C6B1778}"/>
    <cellStyle name="Normal 4 2 5 2 8" xfId="8963" xr:uid="{5280A285-6C68-4EA8-951B-274033818051}"/>
    <cellStyle name="Normal 4 2 5 3" xfId="839" xr:uid="{00000000-0005-0000-0000-0000E0130000}"/>
    <cellStyle name="Normal 4 2 5 3 2" xfId="3076" xr:uid="{00000000-0005-0000-0000-0000E1130000}"/>
    <cellStyle name="Normal 4 2 5 3 2 2" xfId="7299" xr:uid="{00000000-0005-0000-0000-0000E2130000}"/>
    <cellStyle name="Normal 4 2 5 3 2 2 2" xfId="15738" xr:uid="{51C1B0D4-8D49-4298-BADD-64894C95C402}"/>
    <cellStyle name="Normal 4 2 5 3 2 3" xfId="11520" xr:uid="{4D320332-5A8B-42F3-A592-2D1E9C230E15}"/>
    <cellStyle name="Normal 4 2 5 3 3" xfId="5154" xr:uid="{00000000-0005-0000-0000-0000E3130000}"/>
    <cellStyle name="Normal 4 2 5 3 3 2" xfId="13593" xr:uid="{F464447B-629E-4F43-9E0E-BBE7C4B2E678}"/>
    <cellStyle name="Normal 4 2 5 3 4" xfId="9375" xr:uid="{E7EEE6CB-6C65-46FF-8E81-2C033821241F}"/>
    <cellStyle name="Normal 4 2 5 4" xfId="1259" xr:uid="{00000000-0005-0000-0000-0000E4130000}"/>
    <cellStyle name="Normal 4 2 5 4 2" xfId="3489" xr:uid="{00000000-0005-0000-0000-0000E5130000}"/>
    <cellStyle name="Normal 4 2 5 4 2 2" xfId="7712" xr:uid="{00000000-0005-0000-0000-0000E6130000}"/>
    <cellStyle name="Normal 4 2 5 4 2 2 2" xfId="16151" xr:uid="{9996FFE6-AEFC-4DB4-916D-A0E0E6FE11D1}"/>
    <cellStyle name="Normal 4 2 5 4 2 3" xfId="11933" xr:uid="{1E4CC187-5555-46AE-9EA9-9048D0867C4E}"/>
    <cellStyle name="Normal 4 2 5 4 3" xfId="5567" xr:uid="{00000000-0005-0000-0000-0000E7130000}"/>
    <cellStyle name="Normal 4 2 5 4 3 2" xfId="14006" xr:uid="{1BCF69C1-A9CB-4554-98CF-17047C1B20B1}"/>
    <cellStyle name="Normal 4 2 5 4 4" xfId="9788" xr:uid="{ED2DDFE0-FEDD-44B5-80B2-E4D7D2767FA1}"/>
    <cellStyle name="Normal 4 2 5 5" xfId="1672" xr:uid="{00000000-0005-0000-0000-0000E8130000}"/>
    <cellStyle name="Normal 4 2 5 5 2" xfId="3902" xr:uid="{00000000-0005-0000-0000-0000E9130000}"/>
    <cellStyle name="Normal 4 2 5 5 2 2" xfId="8125" xr:uid="{00000000-0005-0000-0000-0000EA130000}"/>
    <cellStyle name="Normal 4 2 5 5 2 2 2" xfId="16564" xr:uid="{A9928F2F-01B7-4007-A9C6-C0A9AA85671A}"/>
    <cellStyle name="Normal 4 2 5 5 2 3" xfId="12346" xr:uid="{2F094BBE-5502-4030-B881-46B63B8BAAAA}"/>
    <cellStyle name="Normal 4 2 5 5 3" xfId="5980" xr:uid="{00000000-0005-0000-0000-0000EB130000}"/>
    <cellStyle name="Normal 4 2 5 5 3 2" xfId="14419" xr:uid="{433E5F38-F350-42B0-A769-338582F13F48}"/>
    <cellStyle name="Normal 4 2 5 5 4" xfId="10201" xr:uid="{64CF3F4A-1D57-40FA-8983-8FE70FE740ED}"/>
    <cellStyle name="Normal 4 2 5 6" xfId="2086" xr:uid="{00000000-0005-0000-0000-0000EC130000}"/>
    <cellStyle name="Normal 4 2 5 6 2" xfId="4315" xr:uid="{00000000-0005-0000-0000-0000ED130000}"/>
    <cellStyle name="Normal 4 2 5 6 2 2" xfId="8538" xr:uid="{00000000-0005-0000-0000-0000EE130000}"/>
    <cellStyle name="Normal 4 2 5 6 2 2 2" xfId="16977" xr:uid="{F7807497-7982-4AD7-AB75-6BDCF88A207D}"/>
    <cellStyle name="Normal 4 2 5 6 2 3" xfId="12759" xr:uid="{2C071FD9-FE75-43AD-96E9-A59C66EF1CEA}"/>
    <cellStyle name="Normal 4 2 5 6 3" xfId="6393" xr:uid="{00000000-0005-0000-0000-0000EF130000}"/>
    <cellStyle name="Normal 4 2 5 6 3 2" xfId="14832" xr:uid="{ECEF9CA5-A60B-486D-A072-2581DF5FC93B}"/>
    <cellStyle name="Normal 4 2 5 6 4" xfId="10614" xr:uid="{6AE72AD3-5465-4354-8B02-C5E090C2E0BF}"/>
    <cellStyle name="Normal 4 2 5 7" xfId="2522" xr:uid="{00000000-0005-0000-0000-0000F0130000}"/>
    <cellStyle name="Normal 4 2 5 7 2" xfId="6806" xr:uid="{00000000-0005-0000-0000-0000F1130000}"/>
    <cellStyle name="Normal 4 2 5 7 2 2" xfId="15245" xr:uid="{DD4574B5-213E-42A7-BA28-1964CD35F2E2}"/>
    <cellStyle name="Normal 4 2 5 7 3" xfId="11027" xr:uid="{65B69FC0-7BC1-4C53-A3BA-AF0791CC4F40}"/>
    <cellStyle name="Normal 4 2 5 8" xfId="4741" xr:uid="{00000000-0005-0000-0000-0000F2130000}"/>
    <cellStyle name="Normal 4 2 5 8 2" xfId="13180" xr:uid="{0F5C6C07-9A7B-44E8-B4E8-253A7CE868AA}"/>
    <cellStyle name="Normal 4 2 5 9" xfId="8962" xr:uid="{8F9AB4CD-7F15-4F10-BC1E-71592A53320A}"/>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15740" xr:uid="{108655A4-C041-48C9-B11C-882B1E1FEEC9}"/>
    <cellStyle name="Normal 4 2 6 2 2 3" xfId="11522" xr:uid="{AC3FD739-2D9A-4738-9EFE-C616E0786F92}"/>
    <cellStyle name="Normal 4 2 6 2 3" xfId="5156" xr:uid="{00000000-0005-0000-0000-0000F7130000}"/>
    <cellStyle name="Normal 4 2 6 2 3 2" xfId="13595" xr:uid="{893923E4-93F6-4314-A23E-97DC84D6FBA2}"/>
    <cellStyle name="Normal 4 2 6 2 4" xfId="9377" xr:uid="{468F594B-D07A-4687-8643-6DD5C81E4EE9}"/>
    <cellStyle name="Normal 4 2 6 3" xfId="1261" xr:uid="{00000000-0005-0000-0000-0000F8130000}"/>
    <cellStyle name="Normal 4 2 6 3 2" xfId="3491" xr:uid="{00000000-0005-0000-0000-0000F9130000}"/>
    <cellStyle name="Normal 4 2 6 3 2 2" xfId="7714" xr:uid="{00000000-0005-0000-0000-0000FA130000}"/>
    <cellStyle name="Normal 4 2 6 3 2 2 2" xfId="16153" xr:uid="{10344A0E-D6A6-4649-AE05-72F2FA4D24DD}"/>
    <cellStyle name="Normal 4 2 6 3 2 3" xfId="11935" xr:uid="{FD296A2C-98A3-4BFF-9AC2-36FB90F87D71}"/>
    <cellStyle name="Normal 4 2 6 3 3" xfId="5569" xr:uid="{00000000-0005-0000-0000-0000FB130000}"/>
    <cellStyle name="Normal 4 2 6 3 3 2" xfId="14008" xr:uid="{699A2EAA-BC17-4EF3-BA6D-6C1C783A0BBB}"/>
    <cellStyle name="Normal 4 2 6 3 4" xfId="9790" xr:uid="{1DC6AB48-B288-4A20-B51C-217522CAFEEF}"/>
    <cellStyle name="Normal 4 2 6 4" xfId="1674" xr:uid="{00000000-0005-0000-0000-0000FC130000}"/>
    <cellStyle name="Normal 4 2 6 4 2" xfId="3904" xr:uid="{00000000-0005-0000-0000-0000FD130000}"/>
    <cellStyle name="Normal 4 2 6 4 2 2" xfId="8127" xr:uid="{00000000-0005-0000-0000-0000FE130000}"/>
    <cellStyle name="Normal 4 2 6 4 2 2 2" xfId="16566" xr:uid="{B5F166B1-098C-4A1D-B9BF-6E7202805EED}"/>
    <cellStyle name="Normal 4 2 6 4 2 3" xfId="12348" xr:uid="{54FD29F6-4143-4AE2-9755-51749B3E51AA}"/>
    <cellStyle name="Normal 4 2 6 4 3" xfId="5982" xr:uid="{00000000-0005-0000-0000-0000FF130000}"/>
    <cellStyle name="Normal 4 2 6 4 3 2" xfId="14421" xr:uid="{4197CA09-B214-46B4-8FED-1B5D593345B8}"/>
    <cellStyle name="Normal 4 2 6 4 4" xfId="10203" xr:uid="{ABDDBD87-548B-4763-B910-8245A27C435E}"/>
    <cellStyle name="Normal 4 2 6 5" xfId="2088" xr:uid="{00000000-0005-0000-0000-000000140000}"/>
    <cellStyle name="Normal 4 2 6 5 2" xfId="4317" xr:uid="{00000000-0005-0000-0000-000001140000}"/>
    <cellStyle name="Normal 4 2 6 5 2 2" xfId="8540" xr:uid="{00000000-0005-0000-0000-000002140000}"/>
    <cellStyle name="Normal 4 2 6 5 2 2 2" xfId="16979" xr:uid="{F431549C-6CF5-49AA-B24E-976FD0AE6904}"/>
    <cellStyle name="Normal 4 2 6 5 2 3" xfId="12761" xr:uid="{B0BE537A-B51B-4E91-AF41-3B3872C89D5F}"/>
    <cellStyle name="Normal 4 2 6 5 3" xfId="6395" xr:uid="{00000000-0005-0000-0000-000003140000}"/>
    <cellStyle name="Normal 4 2 6 5 3 2" xfId="14834" xr:uid="{C50F5C22-992F-4B3E-B74E-533AFAC66A64}"/>
    <cellStyle name="Normal 4 2 6 5 4" xfId="10616" xr:uid="{004E1290-A0BA-44A2-8128-AB73F461A351}"/>
    <cellStyle name="Normal 4 2 6 6" xfId="2524" xr:uid="{00000000-0005-0000-0000-000004140000}"/>
    <cellStyle name="Normal 4 2 6 6 2" xfId="6808" xr:uid="{00000000-0005-0000-0000-000005140000}"/>
    <cellStyle name="Normal 4 2 6 6 2 2" xfId="15247" xr:uid="{44E41185-80BB-4303-83E7-59756199B431}"/>
    <cellStyle name="Normal 4 2 6 6 3" xfId="11029" xr:uid="{357BDE59-2D40-4B14-A80F-C373AF245792}"/>
    <cellStyle name="Normal 4 2 6 7" xfId="4743" xr:uid="{00000000-0005-0000-0000-000006140000}"/>
    <cellStyle name="Normal 4 2 6 7 2" xfId="13182" xr:uid="{65F190A5-EC75-4E1C-A5CF-EC182F541928}"/>
    <cellStyle name="Normal 4 2 6 8" xfId="8964" xr:uid="{896CD4B2-FA84-4FAF-BA66-B9B097625C92}"/>
    <cellStyle name="Normal 4 3" xfId="366" xr:uid="{00000000-0005-0000-0000-000007140000}"/>
    <cellStyle name="Normal 4 3 10" xfId="8965" xr:uid="{25A4E95A-8DA5-4B44-AEF4-D4AD06A147A1}"/>
    <cellStyle name="Normal 4 3 2" xfId="367" xr:uid="{00000000-0005-0000-0000-000008140000}"/>
    <cellStyle name="Normal 4 3 2 2" xfId="368" xr:uid="{00000000-0005-0000-0000-000009140000}"/>
    <cellStyle name="Normal 4 3 2 2 2" xfId="369" xr:uid="{00000000-0005-0000-0000-00000A140000}"/>
    <cellStyle name="Normal 4 3 2 2 2 10" xfId="8966" xr:uid="{8FE0857B-3336-4BF0-B2C6-D6BBF45B5B1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5744" xr:uid="{B41BD07B-9A6A-4500-8848-6E1821E23593}"/>
    <cellStyle name="Normal 4 3 2 2 2 2 2 2 2 3" xfId="11526" xr:uid="{B808E877-60AF-4696-B56E-9D259FA4CA87}"/>
    <cellStyle name="Normal 4 3 2 2 2 2 2 2 3" xfId="5160" xr:uid="{00000000-0005-0000-0000-000010140000}"/>
    <cellStyle name="Normal 4 3 2 2 2 2 2 2 3 2" xfId="13599" xr:uid="{2F40EF40-459C-41E1-A21A-6AC22835A48B}"/>
    <cellStyle name="Normal 4 3 2 2 2 2 2 2 4" xfId="9381" xr:uid="{2796E176-2464-406E-9143-62210073DFA7}"/>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16157" xr:uid="{23A8BF0B-49FA-478A-8802-B951CBEFFEDD}"/>
    <cellStyle name="Normal 4 3 2 2 2 2 2 3 2 3" xfId="11939" xr:uid="{21BA2549-DF2A-454E-90CA-32DB110FD6A0}"/>
    <cellStyle name="Normal 4 3 2 2 2 2 2 3 3" xfId="5573" xr:uid="{00000000-0005-0000-0000-000014140000}"/>
    <cellStyle name="Normal 4 3 2 2 2 2 2 3 3 2" xfId="14012" xr:uid="{E5CFD825-2703-4D19-9C28-4A43AB25A7C8}"/>
    <cellStyle name="Normal 4 3 2 2 2 2 2 3 4" xfId="9794" xr:uid="{3AE4CBCB-F55A-422B-9C8D-8DF2F12D31A2}"/>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16570" xr:uid="{5E546FDC-757B-46DF-B247-4B2ED01373A2}"/>
    <cellStyle name="Normal 4 3 2 2 2 2 2 4 2 3" xfId="12352" xr:uid="{616EB1FD-AA5D-4AF7-A060-D9D4359DFD74}"/>
    <cellStyle name="Normal 4 3 2 2 2 2 2 4 3" xfId="5986" xr:uid="{00000000-0005-0000-0000-000018140000}"/>
    <cellStyle name="Normal 4 3 2 2 2 2 2 4 3 2" xfId="14425" xr:uid="{54103DA7-8448-45F7-BBC7-2140DF0101EF}"/>
    <cellStyle name="Normal 4 3 2 2 2 2 2 4 4" xfId="10207" xr:uid="{AE6536DC-19B6-4574-9B6D-DA3E0A5BFE66}"/>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16983" xr:uid="{3F54538A-1549-4C6C-A2C0-E45DABAEB88F}"/>
    <cellStyle name="Normal 4 3 2 2 2 2 2 5 2 3" xfId="12765" xr:uid="{548D03CD-DA90-4061-B37C-6678502AAE06}"/>
    <cellStyle name="Normal 4 3 2 2 2 2 2 5 3" xfId="6399" xr:uid="{00000000-0005-0000-0000-00001C140000}"/>
    <cellStyle name="Normal 4 3 2 2 2 2 2 5 3 2" xfId="14838" xr:uid="{4B410160-6AC3-4EDC-A2B1-AC63629F9AFE}"/>
    <cellStyle name="Normal 4 3 2 2 2 2 2 5 4" xfId="10620" xr:uid="{858D99B0-0FBF-4F61-9B4E-45950DEE23DF}"/>
    <cellStyle name="Normal 4 3 2 2 2 2 2 6" xfId="2528" xr:uid="{00000000-0005-0000-0000-00001D140000}"/>
    <cellStyle name="Normal 4 3 2 2 2 2 2 6 2" xfId="6812" xr:uid="{00000000-0005-0000-0000-00001E140000}"/>
    <cellStyle name="Normal 4 3 2 2 2 2 2 6 2 2" xfId="15251" xr:uid="{E4EF0E9C-093A-4D57-9D05-41FEC5F26039}"/>
    <cellStyle name="Normal 4 3 2 2 2 2 2 6 3" xfId="11033" xr:uid="{33201E48-276F-4393-8172-748738D7D129}"/>
    <cellStyle name="Normal 4 3 2 2 2 2 2 7" xfId="4747" xr:uid="{00000000-0005-0000-0000-00001F140000}"/>
    <cellStyle name="Normal 4 3 2 2 2 2 2 7 2" xfId="13186" xr:uid="{0C1A3B0A-334E-468C-BCCB-12D025DC5419}"/>
    <cellStyle name="Normal 4 3 2 2 2 2 2 8" xfId="8968" xr:uid="{3575C26E-CB3C-4296-96F0-D9D31313995D}"/>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5743" xr:uid="{D692CC01-54CA-4EE8-9EF7-6A4D58821764}"/>
    <cellStyle name="Normal 4 3 2 2 2 2 3 2 3" xfId="11525" xr:uid="{E90CA87F-440F-41E1-AC54-488B08D6B9C4}"/>
    <cellStyle name="Normal 4 3 2 2 2 2 3 3" xfId="5159" xr:uid="{00000000-0005-0000-0000-000023140000}"/>
    <cellStyle name="Normal 4 3 2 2 2 2 3 3 2" xfId="13598" xr:uid="{E5BAF029-61D1-438F-9B4C-63039D2913E4}"/>
    <cellStyle name="Normal 4 3 2 2 2 2 3 4" xfId="9380" xr:uid="{168C67AA-7DB2-487E-970D-0C46A756DC9B}"/>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16156" xr:uid="{7FECD4E6-F273-4B4F-8FBB-44DCEDBB86D9}"/>
    <cellStyle name="Normal 4 3 2 2 2 2 4 2 3" xfId="11938" xr:uid="{66CBD0FB-0E3E-474A-AC7A-FCCB5EA8CA2A}"/>
    <cellStyle name="Normal 4 3 2 2 2 2 4 3" xfId="5572" xr:uid="{00000000-0005-0000-0000-000027140000}"/>
    <cellStyle name="Normal 4 3 2 2 2 2 4 3 2" xfId="14011" xr:uid="{C14D00D0-BF70-4759-82A5-DACCD77046B5}"/>
    <cellStyle name="Normal 4 3 2 2 2 2 4 4" xfId="9793" xr:uid="{F11F0705-E230-44F4-8E3C-F5C4C8D067E9}"/>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16569" xr:uid="{87183DB2-2814-49A5-AA5E-17103CAE04B9}"/>
    <cellStyle name="Normal 4 3 2 2 2 2 5 2 3" xfId="12351" xr:uid="{3F023CBB-1A24-4EF2-824F-225FEF7F6541}"/>
    <cellStyle name="Normal 4 3 2 2 2 2 5 3" xfId="5985" xr:uid="{00000000-0005-0000-0000-00002B140000}"/>
    <cellStyle name="Normal 4 3 2 2 2 2 5 3 2" xfId="14424" xr:uid="{CEE0632D-756A-4978-B8AB-B7AEE555D436}"/>
    <cellStyle name="Normal 4 3 2 2 2 2 5 4" xfId="10206" xr:uid="{C3DE5BAF-FB77-43E5-975D-ED9C577CC749}"/>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16982" xr:uid="{A95E81F4-811D-4BD4-8854-4E1E35031BEC}"/>
    <cellStyle name="Normal 4 3 2 2 2 2 6 2 3" xfId="12764" xr:uid="{4E48C6B3-3C22-4665-A8A8-6FBA97FB900A}"/>
    <cellStyle name="Normal 4 3 2 2 2 2 6 3" xfId="6398" xr:uid="{00000000-0005-0000-0000-00002F140000}"/>
    <cellStyle name="Normal 4 3 2 2 2 2 6 3 2" xfId="14837" xr:uid="{93D383C3-EA7A-4A82-90D2-DCD4C6F44767}"/>
    <cellStyle name="Normal 4 3 2 2 2 2 6 4" xfId="10619" xr:uid="{69212CB7-DDBD-4D8F-8478-BA0668A94DF2}"/>
    <cellStyle name="Normal 4 3 2 2 2 2 7" xfId="2527" xr:uid="{00000000-0005-0000-0000-000030140000}"/>
    <cellStyle name="Normal 4 3 2 2 2 2 7 2" xfId="6811" xr:uid="{00000000-0005-0000-0000-000031140000}"/>
    <cellStyle name="Normal 4 3 2 2 2 2 7 2 2" xfId="15250" xr:uid="{2B4DE101-92FD-4FC8-9C46-DE51FCF669B9}"/>
    <cellStyle name="Normal 4 3 2 2 2 2 7 3" xfId="11032" xr:uid="{28F7561D-3049-4C67-B7BD-B3A7D51EAD35}"/>
    <cellStyle name="Normal 4 3 2 2 2 2 8" xfId="4746" xr:uid="{00000000-0005-0000-0000-000032140000}"/>
    <cellStyle name="Normal 4 3 2 2 2 2 8 2" xfId="13185" xr:uid="{0A1FA8BE-DDDD-43E9-8C35-36BBF0C1D698}"/>
    <cellStyle name="Normal 4 3 2 2 2 2 9" xfId="8967" xr:uid="{8979C00D-8801-4683-9A32-0AEFC57FE7D3}"/>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5745" xr:uid="{751AD1A4-41A9-45AD-822E-959F56C5F3DF}"/>
    <cellStyle name="Normal 4 3 2 2 2 3 2 2 3" xfId="11527" xr:uid="{8D17E79C-3571-474F-85E7-2E4467AB73A7}"/>
    <cellStyle name="Normal 4 3 2 2 2 3 2 3" xfId="5161" xr:uid="{00000000-0005-0000-0000-000037140000}"/>
    <cellStyle name="Normal 4 3 2 2 2 3 2 3 2" xfId="13600" xr:uid="{3A1E0F8C-6DF3-46E0-ACB2-42EC2AAA8533}"/>
    <cellStyle name="Normal 4 3 2 2 2 3 2 4" xfId="9382" xr:uid="{6C95783D-BAFC-4AD0-8EFF-6CFD8763716C}"/>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16158" xr:uid="{67AAC4BA-EDB1-426C-A1C8-896CB381686F}"/>
    <cellStyle name="Normal 4 3 2 2 2 3 3 2 3" xfId="11940" xr:uid="{DAE2097B-716A-4E61-B119-814C039E7DD7}"/>
    <cellStyle name="Normal 4 3 2 2 2 3 3 3" xfId="5574" xr:uid="{00000000-0005-0000-0000-00003B140000}"/>
    <cellStyle name="Normal 4 3 2 2 2 3 3 3 2" xfId="14013" xr:uid="{E8B61771-9CC5-4DD3-85F1-CEDD9C5BB2F4}"/>
    <cellStyle name="Normal 4 3 2 2 2 3 3 4" xfId="9795" xr:uid="{25EB7C40-3255-4E3F-9C53-469F5E3502F2}"/>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16571" xr:uid="{6C4FAE2F-689B-4E25-A244-EB2886E8923E}"/>
    <cellStyle name="Normal 4 3 2 2 2 3 4 2 3" xfId="12353" xr:uid="{CD1D8F9A-2B1A-427A-87A0-8D89EFB27C1E}"/>
    <cellStyle name="Normal 4 3 2 2 2 3 4 3" xfId="5987" xr:uid="{00000000-0005-0000-0000-00003F140000}"/>
    <cellStyle name="Normal 4 3 2 2 2 3 4 3 2" xfId="14426" xr:uid="{6B43930F-76BB-4404-9664-03317BC0281E}"/>
    <cellStyle name="Normal 4 3 2 2 2 3 4 4" xfId="10208" xr:uid="{2DDB0C42-14BD-414C-B7A3-1AB20819C5A4}"/>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16984" xr:uid="{A55D3956-6DEF-48F8-9FC3-52AFBF73F84D}"/>
    <cellStyle name="Normal 4 3 2 2 2 3 5 2 3" xfId="12766" xr:uid="{1ACA20EE-8FFF-4245-A6B8-093CF06FAA25}"/>
    <cellStyle name="Normal 4 3 2 2 2 3 5 3" xfId="6400" xr:uid="{00000000-0005-0000-0000-000043140000}"/>
    <cellStyle name="Normal 4 3 2 2 2 3 5 3 2" xfId="14839" xr:uid="{461B7FAA-357B-40E9-9728-CBE64938058E}"/>
    <cellStyle name="Normal 4 3 2 2 2 3 5 4" xfId="10621" xr:uid="{CFB42A9E-859A-4269-B376-61A5085CA76E}"/>
    <cellStyle name="Normal 4 3 2 2 2 3 6" xfId="2529" xr:uid="{00000000-0005-0000-0000-000044140000}"/>
    <cellStyle name="Normal 4 3 2 2 2 3 6 2" xfId="6813" xr:uid="{00000000-0005-0000-0000-000045140000}"/>
    <cellStyle name="Normal 4 3 2 2 2 3 6 2 2" xfId="15252" xr:uid="{5A9FB92A-2596-441D-8F40-0E6159E2226B}"/>
    <cellStyle name="Normal 4 3 2 2 2 3 6 3" xfId="11034" xr:uid="{B0BA5993-1A7E-4B93-842F-9B6647B978AF}"/>
    <cellStyle name="Normal 4 3 2 2 2 3 7" xfId="4748" xr:uid="{00000000-0005-0000-0000-000046140000}"/>
    <cellStyle name="Normal 4 3 2 2 2 3 7 2" xfId="13187" xr:uid="{FD35CC8C-9DE4-415B-81C1-192DA04296F5}"/>
    <cellStyle name="Normal 4 3 2 2 2 3 8" xfId="8969" xr:uid="{D2D7CF1A-A352-4B4B-8713-9061C7047C54}"/>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5742" xr:uid="{DDDED12C-2549-46D6-99FD-653AD20F34B3}"/>
    <cellStyle name="Normal 4 3 2 2 2 4 2 3" xfId="11524" xr:uid="{5156FBF4-EB49-4493-BB7C-B327F818A6B1}"/>
    <cellStyle name="Normal 4 3 2 2 2 4 3" xfId="5158" xr:uid="{00000000-0005-0000-0000-00004A140000}"/>
    <cellStyle name="Normal 4 3 2 2 2 4 3 2" xfId="13597" xr:uid="{76255B00-CEDC-4CB1-8381-49EEE96CAE4E}"/>
    <cellStyle name="Normal 4 3 2 2 2 4 4" xfId="9379" xr:uid="{ED41FD8E-6B3D-4420-BFA3-DD4769ED8731}"/>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16155" xr:uid="{46471F11-A500-4D2A-8003-C6FA867D3941}"/>
    <cellStyle name="Normal 4 3 2 2 2 5 2 3" xfId="11937" xr:uid="{C846EA73-B36F-4CDA-B0E7-E21FE9A1D7C9}"/>
    <cellStyle name="Normal 4 3 2 2 2 5 3" xfId="5571" xr:uid="{00000000-0005-0000-0000-00004E140000}"/>
    <cellStyle name="Normal 4 3 2 2 2 5 3 2" xfId="14010" xr:uid="{DD0C6537-723C-48C8-BFFA-BCA7B4CAF502}"/>
    <cellStyle name="Normal 4 3 2 2 2 5 4" xfId="9792" xr:uid="{255C404E-D23D-479C-9844-59D52DFAD00C}"/>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16568" xr:uid="{432C7950-D361-4CDD-83E4-C7EF59F54EC0}"/>
    <cellStyle name="Normal 4 3 2 2 2 6 2 3" xfId="12350" xr:uid="{DEA7B69D-E452-41CF-AC90-5BFEF8305A65}"/>
    <cellStyle name="Normal 4 3 2 2 2 6 3" xfId="5984" xr:uid="{00000000-0005-0000-0000-000052140000}"/>
    <cellStyle name="Normal 4 3 2 2 2 6 3 2" xfId="14423" xr:uid="{66F2F32B-A41A-4FE4-9354-A9AC7F4DBF4A}"/>
    <cellStyle name="Normal 4 3 2 2 2 6 4" xfId="10205" xr:uid="{D9A586CE-BA48-40D5-9783-7FEE6EE878B7}"/>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16981" xr:uid="{5506F48C-7704-4177-8345-CB7170EBED23}"/>
    <cellStyle name="Normal 4 3 2 2 2 7 2 3" xfId="12763" xr:uid="{EA70B4B1-363E-4E1D-914E-11A8165C08E0}"/>
    <cellStyle name="Normal 4 3 2 2 2 7 3" xfId="6397" xr:uid="{00000000-0005-0000-0000-000056140000}"/>
    <cellStyle name="Normal 4 3 2 2 2 7 3 2" xfId="14836" xr:uid="{C3A7998A-DF04-44A8-B809-AE45B4F3A5AE}"/>
    <cellStyle name="Normal 4 3 2 2 2 7 4" xfId="10618" xr:uid="{4F799620-866E-4B10-A04F-8A05899BEE23}"/>
    <cellStyle name="Normal 4 3 2 2 2 8" xfId="2526" xr:uid="{00000000-0005-0000-0000-000057140000}"/>
    <cellStyle name="Normal 4 3 2 2 2 8 2" xfId="6810" xr:uid="{00000000-0005-0000-0000-000058140000}"/>
    <cellStyle name="Normal 4 3 2 2 2 8 2 2" xfId="15249" xr:uid="{0666BA4B-090C-456B-B526-541DB1B41667}"/>
    <cellStyle name="Normal 4 3 2 2 2 8 3" xfId="11031" xr:uid="{7355A4E9-CA93-48B1-9651-DCAB33DFDBF5}"/>
    <cellStyle name="Normal 4 3 2 2 2 9" xfId="4745" xr:uid="{00000000-0005-0000-0000-000059140000}"/>
    <cellStyle name="Normal 4 3 2 2 2 9 2" xfId="13184" xr:uid="{2C103A00-8115-4F4E-94BA-EA42138AC54B}"/>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0" xr:uid="{06928266-8FE0-444C-AA7D-FAF0A22C55AB}"/>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5748" xr:uid="{FFD8B61E-A7D7-4915-8868-CE2E80EC271E}"/>
    <cellStyle name="Normal 4 3 3 2 2 2 2 3" xfId="11530" xr:uid="{29287BE5-776A-4D90-8C81-4CFEEFAB869F}"/>
    <cellStyle name="Normal 4 3 3 2 2 2 3" xfId="5164" xr:uid="{00000000-0005-0000-0000-000063140000}"/>
    <cellStyle name="Normal 4 3 3 2 2 2 3 2" xfId="13603" xr:uid="{AA555E59-9C85-4D58-A637-66DDC1607564}"/>
    <cellStyle name="Normal 4 3 3 2 2 2 4" xfId="9385" xr:uid="{3295184D-DE5D-41C6-93B7-52A8B0CC8E53}"/>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16161" xr:uid="{37BCE092-D67E-4228-B834-A4886E7DA206}"/>
    <cellStyle name="Normal 4 3 3 2 2 3 2 3" xfId="11943" xr:uid="{A2461E3C-5A55-428E-B480-5D968F10616C}"/>
    <cellStyle name="Normal 4 3 3 2 2 3 3" xfId="5577" xr:uid="{00000000-0005-0000-0000-000067140000}"/>
    <cellStyle name="Normal 4 3 3 2 2 3 3 2" xfId="14016" xr:uid="{C6302758-F8B0-432F-B65E-B0DB85B420C7}"/>
    <cellStyle name="Normal 4 3 3 2 2 3 4" xfId="9798" xr:uid="{AA1213CE-036B-44FC-89F1-D5776B81AB8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16574" xr:uid="{C47A5569-4C13-43B8-992C-402BBF80423F}"/>
    <cellStyle name="Normal 4 3 3 2 2 4 2 3" xfId="12356" xr:uid="{F97265E9-553C-4C60-ADF3-A96AE22D8180}"/>
    <cellStyle name="Normal 4 3 3 2 2 4 3" xfId="5990" xr:uid="{00000000-0005-0000-0000-00006B140000}"/>
    <cellStyle name="Normal 4 3 3 2 2 4 3 2" xfId="14429" xr:uid="{EDE360DD-EA81-4F19-97D9-4692882AF455}"/>
    <cellStyle name="Normal 4 3 3 2 2 4 4" xfId="10211" xr:uid="{5BEA3B57-475D-47B7-B13F-DFFE4D0D0C4B}"/>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16987" xr:uid="{B1694B6D-0258-4EF8-9156-8787327CAA2B}"/>
    <cellStyle name="Normal 4 3 3 2 2 5 2 3" xfId="12769" xr:uid="{3D0AAD3A-D55E-4E02-A3D5-6C92BD69A6C0}"/>
    <cellStyle name="Normal 4 3 3 2 2 5 3" xfId="6403" xr:uid="{00000000-0005-0000-0000-00006F140000}"/>
    <cellStyle name="Normal 4 3 3 2 2 5 3 2" xfId="14842" xr:uid="{54DA1244-6B62-46C7-A77D-A3773ECDD14D}"/>
    <cellStyle name="Normal 4 3 3 2 2 5 4" xfId="10624" xr:uid="{6AC1F743-801A-497F-87C0-00433B48697F}"/>
    <cellStyle name="Normal 4 3 3 2 2 6" xfId="2532" xr:uid="{00000000-0005-0000-0000-000070140000}"/>
    <cellStyle name="Normal 4 3 3 2 2 6 2" xfId="6816" xr:uid="{00000000-0005-0000-0000-000071140000}"/>
    <cellStyle name="Normal 4 3 3 2 2 6 2 2" xfId="15255" xr:uid="{79ED3A6E-A358-4854-A6C4-78C041ACDF1B}"/>
    <cellStyle name="Normal 4 3 3 2 2 6 3" xfId="11037" xr:uid="{E27D70A0-92EF-49F0-89A7-4BEE8C118840}"/>
    <cellStyle name="Normal 4 3 3 2 2 7" xfId="4751" xr:uid="{00000000-0005-0000-0000-000072140000}"/>
    <cellStyle name="Normal 4 3 3 2 2 7 2" xfId="13190" xr:uid="{6BF4EEBF-4E14-4733-B006-58C4BBFE8B7C}"/>
    <cellStyle name="Normal 4 3 3 2 2 8" xfId="8972" xr:uid="{C3CAF5DD-6824-4193-B504-882381A0E440}"/>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5747" xr:uid="{087AB667-5985-4775-AA30-5444F0E461C5}"/>
    <cellStyle name="Normal 4 3 3 2 3 2 3" xfId="11529" xr:uid="{CD657346-1A68-468E-9FD2-01BA7FF58FF3}"/>
    <cellStyle name="Normal 4 3 3 2 3 3" xfId="5163" xr:uid="{00000000-0005-0000-0000-000076140000}"/>
    <cellStyle name="Normal 4 3 3 2 3 3 2" xfId="13602" xr:uid="{369B3381-0FE5-4BCB-A579-2F9A4D6F289A}"/>
    <cellStyle name="Normal 4 3 3 2 3 4" xfId="9384" xr:uid="{21F56D96-66FF-41E6-A570-C831869DA6BB}"/>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16160" xr:uid="{A8158831-434B-49C9-9B4E-DEE7CB13490A}"/>
    <cellStyle name="Normal 4 3 3 2 4 2 3" xfId="11942" xr:uid="{17228154-9B6B-458B-B39C-80C1CD367B09}"/>
    <cellStyle name="Normal 4 3 3 2 4 3" xfId="5576" xr:uid="{00000000-0005-0000-0000-00007A140000}"/>
    <cellStyle name="Normal 4 3 3 2 4 3 2" xfId="14015" xr:uid="{F4CFB0F8-F1CD-429C-AA17-43D211B98CA3}"/>
    <cellStyle name="Normal 4 3 3 2 4 4" xfId="9797" xr:uid="{21901108-C372-440B-929D-1DA1B99B45AC}"/>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16573" xr:uid="{C580C84D-036B-4D41-8316-FB129F341789}"/>
    <cellStyle name="Normal 4 3 3 2 5 2 3" xfId="12355" xr:uid="{53D6557E-6B9E-45D3-BAC4-4FBBB12069DD}"/>
    <cellStyle name="Normal 4 3 3 2 5 3" xfId="5989" xr:uid="{00000000-0005-0000-0000-00007E140000}"/>
    <cellStyle name="Normal 4 3 3 2 5 3 2" xfId="14428" xr:uid="{BDFD2EB0-6CE7-4242-92C7-49A93A4DC992}"/>
    <cellStyle name="Normal 4 3 3 2 5 4" xfId="10210" xr:uid="{401D4DDE-BA2C-4249-908B-BAF7ABF0AD8E}"/>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16986" xr:uid="{3DCBE185-3528-4556-9681-C70CF0170151}"/>
    <cellStyle name="Normal 4 3 3 2 6 2 3" xfId="12768" xr:uid="{F4BA61E5-7053-4285-A336-CF1DC6C331F8}"/>
    <cellStyle name="Normal 4 3 3 2 6 3" xfId="6402" xr:uid="{00000000-0005-0000-0000-000082140000}"/>
    <cellStyle name="Normal 4 3 3 2 6 3 2" xfId="14841" xr:uid="{11BDDE53-CCF7-4206-A815-525E59956926}"/>
    <cellStyle name="Normal 4 3 3 2 6 4" xfId="10623" xr:uid="{4B066707-69A4-40AB-88F9-884CB69AD3C7}"/>
    <cellStyle name="Normal 4 3 3 2 7" xfId="2531" xr:uid="{00000000-0005-0000-0000-000083140000}"/>
    <cellStyle name="Normal 4 3 3 2 7 2" xfId="6815" xr:uid="{00000000-0005-0000-0000-000084140000}"/>
    <cellStyle name="Normal 4 3 3 2 7 2 2" xfId="15254" xr:uid="{53AF2297-2FA1-4EC1-88CC-825CD18C6E36}"/>
    <cellStyle name="Normal 4 3 3 2 7 3" xfId="11036" xr:uid="{368301AC-4426-4749-9D9F-FCF15163C915}"/>
    <cellStyle name="Normal 4 3 3 2 8" xfId="4750" xr:uid="{00000000-0005-0000-0000-000085140000}"/>
    <cellStyle name="Normal 4 3 3 2 8 2" xfId="13189" xr:uid="{931E826B-F39E-4993-B5F8-ED4D00835082}"/>
    <cellStyle name="Normal 4 3 3 2 9" xfId="8971" xr:uid="{82F8CF25-3F2E-470A-A4BE-85CA050F9373}"/>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5749" xr:uid="{B291CAC2-5034-4067-B550-9AF9CB5F7852}"/>
    <cellStyle name="Normal 4 3 3 3 2 2 3" xfId="11531" xr:uid="{D5B202D6-D7EF-45AC-9739-5F02C1D1C0A7}"/>
    <cellStyle name="Normal 4 3 3 3 2 3" xfId="5165" xr:uid="{00000000-0005-0000-0000-00008A140000}"/>
    <cellStyle name="Normal 4 3 3 3 2 3 2" xfId="13604" xr:uid="{850E97AC-3C64-477C-9A05-A0E7EDC7E9DB}"/>
    <cellStyle name="Normal 4 3 3 3 2 4" xfId="9386" xr:uid="{5140F61B-5EE7-47B3-94A9-A64039BCE19D}"/>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16162" xr:uid="{3B4D9F74-9F1D-4AD1-93FE-5DF8AFA44893}"/>
    <cellStyle name="Normal 4 3 3 3 3 2 3" xfId="11944" xr:uid="{1CEDA128-01E3-43D0-9399-C1927DC667DF}"/>
    <cellStyle name="Normal 4 3 3 3 3 3" xfId="5578" xr:uid="{00000000-0005-0000-0000-00008E140000}"/>
    <cellStyle name="Normal 4 3 3 3 3 3 2" xfId="14017" xr:uid="{1ED4FB77-FC42-43D9-9FDA-F98C26D146F0}"/>
    <cellStyle name="Normal 4 3 3 3 3 4" xfId="9799" xr:uid="{8AAD9153-C493-426D-9838-823C7940D32F}"/>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16575" xr:uid="{05340FB6-F27A-42A7-AD0C-061BCD96719E}"/>
    <cellStyle name="Normal 4 3 3 3 4 2 3" xfId="12357" xr:uid="{F035880F-32E8-4F6B-91FB-B2517E9F4EE4}"/>
    <cellStyle name="Normal 4 3 3 3 4 3" xfId="5991" xr:uid="{00000000-0005-0000-0000-000092140000}"/>
    <cellStyle name="Normal 4 3 3 3 4 3 2" xfId="14430" xr:uid="{68C5E07B-39CC-4A04-8D9D-35A8271AA66A}"/>
    <cellStyle name="Normal 4 3 3 3 4 4" xfId="10212" xr:uid="{FC93BFBE-EA57-4E3B-ACC7-034F6A68B312}"/>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16988" xr:uid="{7F99B66F-7FD5-46BD-ADAF-64B6EA7A1088}"/>
    <cellStyle name="Normal 4 3 3 3 5 2 3" xfId="12770" xr:uid="{280E39F8-A3FB-4D76-ACAD-359DCECB85D9}"/>
    <cellStyle name="Normal 4 3 3 3 5 3" xfId="6404" xr:uid="{00000000-0005-0000-0000-000096140000}"/>
    <cellStyle name="Normal 4 3 3 3 5 3 2" xfId="14843" xr:uid="{7833BC51-363A-489B-B2C6-A6F9956007EF}"/>
    <cellStyle name="Normal 4 3 3 3 5 4" xfId="10625" xr:uid="{A54460AC-53F0-48A7-912A-4A2DC42E20D9}"/>
    <cellStyle name="Normal 4 3 3 3 6" xfId="2533" xr:uid="{00000000-0005-0000-0000-000097140000}"/>
    <cellStyle name="Normal 4 3 3 3 6 2" xfId="6817" xr:uid="{00000000-0005-0000-0000-000098140000}"/>
    <cellStyle name="Normal 4 3 3 3 6 2 2" xfId="15256" xr:uid="{6DA0D0D6-EB51-44D5-9B64-7C3D13837E70}"/>
    <cellStyle name="Normal 4 3 3 3 6 3" xfId="11038" xr:uid="{D13A2DAF-9C8C-4DD1-BCE7-A212AF7464DB}"/>
    <cellStyle name="Normal 4 3 3 3 7" xfId="4752" xr:uid="{00000000-0005-0000-0000-000099140000}"/>
    <cellStyle name="Normal 4 3 3 3 7 2" xfId="13191" xr:uid="{80688AC4-3FC2-4910-8CBF-5232214217B3}"/>
    <cellStyle name="Normal 4 3 3 3 8" xfId="8973" xr:uid="{8C9F0C5B-5714-4FDE-955B-0C833A0BE412}"/>
    <cellStyle name="Normal 4 3 3 4" xfId="849" xr:uid="{00000000-0005-0000-0000-00009A140000}"/>
    <cellStyle name="Normal 4 3 3 4 2" xfId="3084" xr:uid="{00000000-0005-0000-0000-00009B140000}"/>
    <cellStyle name="Normal 4 3 3 4 2 2" xfId="7307" xr:uid="{00000000-0005-0000-0000-00009C140000}"/>
    <cellStyle name="Normal 4 3 3 4 2 2 2" xfId="15746" xr:uid="{468164EF-589F-4C56-8BDD-1CD40AD8F4FE}"/>
    <cellStyle name="Normal 4 3 3 4 2 3" xfId="11528" xr:uid="{784B6762-65F3-41F5-868A-CD3F7036E78E}"/>
    <cellStyle name="Normal 4 3 3 4 3" xfId="5162" xr:uid="{00000000-0005-0000-0000-00009D140000}"/>
    <cellStyle name="Normal 4 3 3 4 3 2" xfId="13601" xr:uid="{5100096D-1ABD-4475-A2CE-2C7AE085C0C5}"/>
    <cellStyle name="Normal 4 3 3 4 4" xfId="9383" xr:uid="{C9E3514A-CC39-4A27-AFA6-004B2DEDB514}"/>
    <cellStyle name="Normal 4 3 3 5" xfId="1267" xr:uid="{00000000-0005-0000-0000-00009E140000}"/>
    <cellStyle name="Normal 4 3 3 5 2" xfId="3497" xr:uid="{00000000-0005-0000-0000-00009F140000}"/>
    <cellStyle name="Normal 4 3 3 5 2 2" xfId="7720" xr:uid="{00000000-0005-0000-0000-0000A0140000}"/>
    <cellStyle name="Normal 4 3 3 5 2 2 2" xfId="16159" xr:uid="{9CEA92D8-241B-4C3D-A6DF-C77FAFBDC063}"/>
    <cellStyle name="Normal 4 3 3 5 2 3" xfId="11941" xr:uid="{2780F804-1DCF-4CCE-ABA2-93D443202B67}"/>
    <cellStyle name="Normal 4 3 3 5 3" xfId="5575" xr:uid="{00000000-0005-0000-0000-0000A1140000}"/>
    <cellStyle name="Normal 4 3 3 5 3 2" xfId="14014" xr:uid="{EFA3C888-09DB-45A6-B3CB-B7FD426F8753}"/>
    <cellStyle name="Normal 4 3 3 5 4" xfId="9796" xr:uid="{61D1A898-EBD0-439B-BC4D-E55294F8280C}"/>
    <cellStyle name="Normal 4 3 3 6" xfId="1680" xr:uid="{00000000-0005-0000-0000-0000A2140000}"/>
    <cellStyle name="Normal 4 3 3 6 2" xfId="3910" xr:uid="{00000000-0005-0000-0000-0000A3140000}"/>
    <cellStyle name="Normal 4 3 3 6 2 2" xfId="8133" xr:uid="{00000000-0005-0000-0000-0000A4140000}"/>
    <cellStyle name="Normal 4 3 3 6 2 2 2" xfId="16572" xr:uid="{01960E39-7796-4A11-825B-1BC1791EC953}"/>
    <cellStyle name="Normal 4 3 3 6 2 3" xfId="12354" xr:uid="{270F1048-3E6D-4037-9C21-C3A6AB77951A}"/>
    <cellStyle name="Normal 4 3 3 6 3" xfId="5988" xr:uid="{00000000-0005-0000-0000-0000A5140000}"/>
    <cellStyle name="Normal 4 3 3 6 3 2" xfId="14427" xr:uid="{E68ADB9A-4380-4225-B1EE-5956108B41FE}"/>
    <cellStyle name="Normal 4 3 3 6 4" xfId="10209" xr:uid="{298EFFC0-3AB7-465B-BEAE-0DC13ABBFD60}"/>
    <cellStyle name="Normal 4 3 3 7" xfId="2094" xr:uid="{00000000-0005-0000-0000-0000A6140000}"/>
    <cellStyle name="Normal 4 3 3 7 2" xfId="4323" xr:uid="{00000000-0005-0000-0000-0000A7140000}"/>
    <cellStyle name="Normal 4 3 3 7 2 2" xfId="8546" xr:uid="{00000000-0005-0000-0000-0000A8140000}"/>
    <cellStyle name="Normal 4 3 3 7 2 2 2" xfId="16985" xr:uid="{FA9EC4EE-B304-4718-8DCA-7ED75C2BBCBC}"/>
    <cellStyle name="Normal 4 3 3 7 2 3" xfId="12767" xr:uid="{D8A26A9B-809E-4312-BC40-CAEA40C71927}"/>
    <cellStyle name="Normal 4 3 3 7 3" xfId="6401" xr:uid="{00000000-0005-0000-0000-0000A9140000}"/>
    <cellStyle name="Normal 4 3 3 7 3 2" xfId="14840" xr:uid="{9EF33314-65E2-444F-8E69-75D155F06C2B}"/>
    <cellStyle name="Normal 4 3 3 7 4" xfId="10622" xr:uid="{7A9FEC34-2EFB-4478-8C0D-15E400BFC23F}"/>
    <cellStyle name="Normal 4 3 3 8" xfId="2530" xr:uid="{00000000-0005-0000-0000-0000AA140000}"/>
    <cellStyle name="Normal 4 3 3 8 2" xfId="6814" xr:uid="{00000000-0005-0000-0000-0000AB140000}"/>
    <cellStyle name="Normal 4 3 3 8 2 2" xfId="15253" xr:uid="{BB949D56-A282-474B-85B2-B13A0FE5A564}"/>
    <cellStyle name="Normal 4 3 3 8 3" xfId="11035" xr:uid="{5910E007-1159-40B6-895C-13102E5CE7B5}"/>
    <cellStyle name="Normal 4 3 3 9" xfId="4749" xr:uid="{00000000-0005-0000-0000-0000AC140000}"/>
    <cellStyle name="Normal 4 3 3 9 2" xfId="13188" xr:uid="{1F6C41A3-FC30-4A92-BFD6-C8806C739E8F}"/>
    <cellStyle name="Normal 4 3 4" xfId="842" xr:uid="{00000000-0005-0000-0000-0000AD140000}"/>
    <cellStyle name="Normal 4 3 4 2" xfId="3079" xr:uid="{00000000-0005-0000-0000-0000AE140000}"/>
    <cellStyle name="Normal 4 3 4 2 2" xfId="7302" xr:uid="{00000000-0005-0000-0000-0000AF140000}"/>
    <cellStyle name="Normal 4 3 4 2 2 2" xfId="15741" xr:uid="{50AEA453-6FD1-477D-8BD1-419E1D986290}"/>
    <cellStyle name="Normal 4 3 4 2 3" xfId="11523" xr:uid="{FD5F317C-5587-4561-83F0-2012C99C489E}"/>
    <cellStyle name="Normal 4 3 4 3" xfId="5157" xr:uid="{00000000-0005-0000-0000-0000B0140000}"/>
    <cellStyle name="Normal 4 3 4 3 2" xfId="13596" xr:uid="{492396EB-21C6-4312-A75D-3FC745EC4F30}"/>
    <cellStyle name="Normal 4 3 4 4" xfId="9378" xr:uid="{5A7A011F-1252-4E9C-A245-2AEDFEBE8D4C}"/>
    <cellStyle name="Normal 4 3 5" xfId="1262" xr:uid="{00000000-0005-0000-0000-0000B1140000}"/>
    <cellStyle name="Normal 4 3 5 2" xfId="3492" xr:uid="{00000000-0005-0000-0000-0000B2140000}"/>
    <cellStyle name="Normal 4 3 5 2 2" xfId="7715" xr:uid="{00000000-0005-0000-0000-0000B3140000}"/>
    <cellStyle name="Normal 4 3 5 2 2 2" xfId="16154" xr:uid="{0E8B2FD3-1A00-4271-BC99-18833771D82F}"/>
    <cellStyle name="Normal 4 3 5 2 3" xfId="11936" xr:uid="{3BAE974F-8FE6-4916-BC52-88EBA9B93CB0}"/>
    <cellStyle name="Normal 4 3 5 3" xfId="5570" xr:uid="{00000000-0005-0000-0000-0000B4140000}"/>
    <cellStyle name="Normal 4 3 5 3 2" xfId="14009" xr:uid="{6A29B9B6-C2EF-41A6-BC0F-525BFE96ABD8}"/>
    <cellStyle name="Normal 4 3 5 4" xfId="9791" xr:uid="{A12BE4C6-10D4-4FDD-A638-45D2FF26BFDA}"/>
    <cellStyle name="Normal 4 3 6" xfId="1675" xr:uid="{00000000-0005-0000-0000-0000B5140000}"/>
    <cellStyle name="Normal 4 3 6 2" xfId="3905" xr:uid="{00000000-0005-0000-0000-0000B6140000}"/>
    <cellStyle name="Normal 4 3 6 2 2" xfId="8128" xr:uid="{00000000-0005-0000-0000-0000B7140000}"/>
    <cellStyle name="Normal 4 3 6 2 2 2" xfId="16567" xr:uid="{29C434AB-720C-4076-8783-B6B35E10BD00}"/>
    <cellStyle name="Normal 4 3 6 2 3" xfId="12349" xr:uid="{594E92F6-F294-4388-AB27-945E98368E19}"/>
    <cellStyle name="Normal 4 3 6 3" xfId="5983" xr:uid="{00000000-0005-0000-0000-0000B8140000}"/>
    <cellStyle name="Normal 4 3 6 3 2" xfId="14422" xr:uid="{C20F0BA5-83B0-492F-9E67-CFCBB8B4FC53}"/>
    <cellStyle name="Normal 4 3 6 4" xfId="10204" xr:uid="{0A621B21-407B-479F-8E60-70CB06C98258}"/>
    <cellStyle name="Normal 4 3 7" xfId="2089" xr:uid="{00000000-0005-0000-0000-0000B9140000}"/>
    <cellStyle name="Normal 4 3 7 2" xfId="4318" xr:uid="{00000000-0005-0000-0000-0000BA140000}"/>
    <cellStyle name="Normal 4 3 7 2 2" xfId="8541" xr:uid="{00000000-0005-0000-0000-0000BB140000}"/>
    <cellStyle name="Normal 4 3 7 2 2 2" xfId="16980" xr:uid="{96068CCF-63C6-4434-8C07-D345D78F1FE5}"/>
    <cellStyle name="Normal 4 3 7 2 3" xfId="12762" xr:uid="{20BDFCB1-99A9-4B2F-80E5-C19AE4C34382}"/>
    <cellStyle name="Normal 4 3 7 3" xfId="6396" xr:uid="{00000000-0005-0000-0000-0000BC140000}"/>
    <cellStyle name="Normal 4 3 7 3 2" xfId="14835" xr:uid="{988B04A6-C2FA-42A2-AB57-A69209D384B4}"/>
    <cellStyle name="Normal 4 3 7 4" xfId="10617" xr:uid="{372B59B4-94A4-4887-9FEA-6730E366F9FB}"/>
    <cellStyle name="Normal 4 3 8" xfId="2525" xr:uid="{00000000-0005-0000-0000-0000BD140000}"/>
    <cellStyle name="Normal 4 3 8 2" xfId="6809" xr:uid="{00000000-0005-0000-0000-0000BE140000}"/>
    <cellStyle name="Normal 4 3 8 2 2" xfId="15248" xr:uid="{F1CBCB47-C1D4-46EC-9ED5-2A063F18B9A2}"/>
    <cellStyle name="Normal 4 3 8 3" xfId="11030" xr:uid="{B116C9C9-9040-44B8-B61D-95A8888C6D9A}"/>
    <cellStyle name="Normal 4 3 9" xfId="4744" xr:uid="{00000000-0005-0000-0000-0000BF140000}"/>
    <cellStyle name="Normal 4 3 9 2" xfId="13183" xr:uid="{62627B98-1380-49AE-A7B4-5FB6C7B544FE}"/>
    <cellStyle name="Normal 4 4" xfId="378" xr:uid="{00000000-0005-0000-0000-0000C0140000}"/>
    <cellStyle name="Normal 4 4 10" xfId="2534" xr:uid="{00000000-0005-0000-0000-0000C1140000}"/>
    <cellStyle name="Normal 4 4 10 2" xfId="6818" xr:uid="{00000000-0005-0000-0000-0000C2140000}"/>
    <cellStyle name="Normal 4 4 10 2 2" xfId="15257" xr:uid="{3522E1D5-5800-466D-A183-2300032D0861}"/>
    <cellStyle name="Normal 4 4 10 3" xfId="11039" xr:uid="{7632D32D-A139-4B6D-8364-F9C833BCA977}"/>
    <cellStyle name="Normal 4 4 11" xfId="4753" xr:uid="{00000000-0005-0000-0000-0000C3140000}"/>
    <cellStyle name="Normal 4 4 11 2" xfId="13192" xr:uid="{DB0E4003-5293-4B25-9493-8C67314BB17A}"/>
    <cellStyle name="Normal 4 4 12" xfId="8974" xr:uid="{C414C34A-BC3B-401D-9352-B59F1DAD3D66}"/>
    <cellStyle name="Normal 4 4 2" xfId="379" xr:uid="{00000000-0005-0000-0000-0000C4140000}"/>
    <cellStyle name="Normal 4 4 2 10" xfId="4754" xr:uid="{00000000-0005-0000-0000-0000C5140000}"/>
    <cellStyle name="Normal 4 4 2 10 2" xfId="13193" xr:uid="{7DC6A67B-3A99-4D45-824A-1F11991EAF26}"/>
    <cellStyle name="Normal 4 4 2 11" xfId="8975" xr:uid="{6CEE9EEF-E217-4580-AE16-3D57EDA59CD2}"/>
    <cellStyle name="Normal 4 4 2 2" xfId="380" xr:uid="{00000000-0005-0000-0000-0000C6140000}"/>
    <cellStyle name="Normal 4 4 2 2 10" xfId="8976" xr:uid="{153BF9FD-3799-4796-B46D-10D20897B932}"/>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5754" xr:uid="{43BFE077-6A11-4C72-8ED3-6AF6A1862500}"/>
    <cellStyle name="Normal 4 4 2 2 2 2 2 2 3" xfId="11536" xr:uid="{24542F5B-55BC-4D75-9511-DEB3897B0CDE}"/>
    <cellStyle name="Normal 4 4 2 2 2 2 2 3" xfId="5170" xr:uid="{00000000-0005-0000-0000-0000CC140000}"/>
    <cellStyle name="Normal 4 4 2 2 2 2 2 3 2" xfId="13609" xr:uid="{344CA52C-86FA-4B28-BA62-131AFDF67D6B}"/>
    <cellStyle name="Normal 4 4 2 2 2 2 2 4" xfId="9391" xr:uid="{705C5177-41F3-4319-8E8A-CC7AE15175D3}"/>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16167" xr:uid="{F443E0E6-01F1-447E-B4B2-D2627902370E}"/>
    <cellStyle name="Normal 4 4 2 2 2 2 3 2 3" xfId="11949" xr:uid="{8623DF8C-596B-4031-B2F2-4AF439285BB1}"/>
    <cellStyle name="Normal 4 4 2 2 2 2 3 3" xfId="5583" xr:uid="{00000000-0005-0000-0000-0000D0140000}"/>
    <cellStyle name="Normal 4 4 2 2 2 2 3 3 2" xfId="14022" xr:uid="{6E6CA509-3C4F-485B-8946-68B886D41EC4}"/>
    <cellStyle name="Normal 4 4 2 2 2 2 3 4" xfId="9804" xr:uid="{06B57024-7BFA-4902-A080-94EA13DD5A4F}"/>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16580" xr:uid="{840824AF-2F42-4583-A319-5719B7657DCE}"/>
    <cellStyle name="Normal 4 4 2 2 2 2 4 2 3" xfId="12362" xr:uid="{58E8AD32-4956-4CD9-A663-2EA306F23DB0}"/>
    <cellStyle name="Normal 4 4 2 2 2 2 4 3" xfId="5996" xr:uid="{00000000-0005-0000-0000-0000D4140000}"/>
    <cellStyle name="Normal 4 4 2 2 2 2 4 3 2" xfId="14435" xr:uid="{9DF66A3F-E227-40AE-B3E0-7ABF8DF77CE8}"/>
    <cellStyle name="Normal 4 4 2 2 2 2 4 4" xfId="10217" xr:uid="{92B93309-E7A2-43C2-ABDD-05E7BE967509}"/>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16993" xr:uid="{99D81B62-8BD6-497E-928F-88A9F53C751E}"/>
    <cellStyle name="Normal 4 4 2 2 2 2 5 2 3" xfId="12775" xr:uid="{7AD215C5-BB6B-42E5-8D70-6F2E936973C1}"/>
    <cellStyle name="Normal 4 4 2 2 2 2 5 3" xfId="6409" xr:uid="{00000000-0005-0000-0000-0000D8140000}"/>
    <cellStyle name="Normal 4 4 2 2 2 2 5 3 2" xfId="14848" xr:uid="{E156410F-844E-4412-B4A9-ED50D2D1BF0A}"/>
    <cellStyle name="Normal 4 4 2 2 2 2 5 4" xfId="10630" xr:uid="{31C60CFA-FD39-445F-86D5-0AE443E5C369}"/>
    <cellStyle name="Normal 4 4 2 2 2 2 6" xfId="2538" xr:uid="{00000000-0005-0000-0000-0000D9140000}"/>
    <cellStyle name="Normal 4 4 2 2 2 2 6 2" xfId="6822" xr:uid="{00000000-0005-0000-0000-0000DA140000}"/>
    <cellStyle name="Normal 4 4 2 2 2 2 6 2 2" xfId="15261" xr:uid="{261F0F9F-A796-4F73-A2A5-EB35AF9DEF52}"/>
    <cellStyle name="Normal 4 4 2 2 2 2 6 3" xfId="11043" xr:uid="{4F30DD75-B3DB-4ADD-B419-8D3C8E36E7BA}"/>
    <cellStyle name="Normal 4 4 2 2 2 2 7" xfId="4757" xr:uid="{00000000-0005-0000-0000-0000DB140000}"/>
    <cellStyle name="Normal 4 4 2 2 2 2 7 2" xfId="13196" xr:uid="{1BF843C3-CDEF-43A0-8B17-32099EA026F7}"/>
    <cellStyle name="Normal 4 4 2 2 2 2 8" xfId="8978" xr:uid="{93286BBF-F708-43A3-B37F-867A2F99B751}"/>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5753" xr:uid="{62AA31D0-D2FA-4174-9127-E7984218B694}"/>
    <cellStyle name="Normal 4 4 2 2 2 3 2 3" xfId="11535" xr:uid="{71610A31-E99D-4FCA-A247-9BCAD22690A5}"/>
    <cellStyle name="Normal 4 4 2 2 2 3 3" xfId="5169" xr:uid="{00000000-0005-0000-0000-0000DF140000}"/>
    <cellStyle name="Normal 4 4 2 2 2 3 3 2" xfId="13608" xr:uid="{1232FB49-3FFE-443A-9B41-E362D96172A7}"/>
    <cellStyle name="Normal 4 4 2 2 2 3 4" xfId="9390" xr:uid="{345ED901-2A95-4820-AEAC-E2DC8614DBC8}"/>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16166" xr:uid="{4B168CC2-E21F-4DBF-96EA-D04A0DCC65E1}"/>
    <cellStyle name="Normal 4 4 2 2 2 4 2 3" xfId="11948" xr:uid="{A2F8F88D-A579-4115-B3EA-3DD712C07345}"/>
    <cellStyle name="Normal 4 4 2 2 2 4 3" xfId="5582" xr:uid="{00000000-0005-0000-0000-0000E3140000}"/>
    <cellStyle name="Normal 4 4 2 2 2 4 3 2" xfId="14021" xr:uid="{887A48EE-C741-4CBE-B2E6-D670B5E47D17}"/>
    <cellStyle name="Normal 4 4 2 2 2 4 4" xfId="9803" xr:uid="{566BA3E9-83D7-4C2C-B9AA-77BEFB8D8F9B}"/>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16579" xr:uid="{348475A0-76BC-4A93-9C54-939B1D91A0D2}"/>
    <cellStyle name="Normal 4 4 2 2 2 5 2 3" xfId="12361" xr:uid="{0CBEBEC4-7EBF-4382-9B17-840B4F4CE5CB}"/>
    <cellStyle name="Normal 4 4 2 2 2 5 3" xfId="5995" xr:uid="{00000000-0005-0000-0000-0000E7140000}"/>
    <cellStyle name="Normal 4 4 2 2 2 5 3 2" xfId="14434" xr:uid="{142DA413-68FE-44E6-8059-6258F5C6EF6A}"/>
    <cellStyle name="Normal 4 4 2 2 2 5 4" xfId="10216" xr:uid="{EE357946-F895-4F08-ADB4-420CF34907D6}"/>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16992" xr:uid="{56164F46-02CF-427F-A865-400E0E9E8EF2}"/>
    <cellStyle name="Normal 4 4 2 2 2 6 2 3" xfId="12774" xr:uid="{2D95DCE2-9556-4934-912A-10D5B8DCE3A8}"/>
    <cellStyle name="Normal 4 4 2 2 2 6 3" xfId="6408" xr:uid="{00000000-0005-0000-0000-0000EB140000}"/>
    <cellStyle name="Normal 4 4 2 2 2 6 3 2" xfId="14847" xr:uid="{77276FE5-DB76-47F5-9592-0751E4F6B399}"/>
    <cellStyle name="Normal 4 4 2 2 2 6 4" xfId="10629" xr:uid="{C4F26F31-6588-419A-A9F0-6E3A60A00DB3}"/>
    <cellStyle name="Normal 4 4 2 2 2 7" xfId="2537" xr:uid="{00000000-0005-0000-0000-0000EC140000}"/>
    <cellStyle name="Normal 4 4 2 2 2 7 2" xfId="6821" xr:uid="{00000000-0005-0000-0000-0000ED140000}"/>
    <cellStyle name="Normal 4 4 2 2 2 7 2 2" xfId="15260" xr:uid="{3712C800-15AC-4A85-868B-795A59D768EB}"/>
    <cellStyle name="Normal 4 4 2 2 2 7 3" xfId="11042" xr:uid="{CAAB7F61-3FE2-4614-9A16-6C5C3886240A}"/>
    <cellStyle name="Normal 4 4 2 2 2 8" xfId="4756" xr:uid="{00000000-0005-0000-0000-0000EE140000}"/>
    <cellStyle name="Normal 4 4 2 2 2 8 2" xfId="13195" xr:uid="{E462F029-2614-49C1-A466-716475F2AE6E}"/>
    <cellStyle name="Normal 4 4 2 2 2 9" xfId="8977" xr:uid="{97776396-E405-4781-B199-6296DBE3034C}"/>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5755" xr:uid="{F3D184CE-59B5-4244-B17C-FB8E2981C440}"/>
    <cellStyle name="Normal 4 4 2 2 3 2 2 3" xfId="11537" xr:uid="{37AAC207-1D17-4ECC-8B03-018398D81908}"/>
    <cellStyle name="Normal 4 4 2 2 3 2 3" xfId="5171" xr:uid="{00000000-0005-0000-0000-0000F3140000}"/>
    <cellStyle name="Normal 4 4 2 2 3 2 3 2" xfId="13610" xr:uid="{FCF70640-97E8-4FD4-815F-DB058670917D}"/>
    <cellStyle name="Normal 4 4 2 2 3 2 4" xfId="9392" xr:uid="{A8009C23-BADA-45CC-9FA1-DBACBC4A1138}"/>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16168" xr:uid="{4C65B619-5038-4F74-A416-26F5E04806CD}"/>
    <cellStyle name="Normal 4 4 2 2 3 3 2 3" xfId="11950" xr:uid="{84AE82CC-ED0C-4572-B4BA-D30C9B72A663}"/>
    <cellStyle name="Normal 4 4 2 2 3 3 3" xfId="5584" xr:uid="{00000000-0005-0000-0000-0000F7140000}"/>
    <cellStyle name="Normal 4 4 2 2 3 3 3 2" xfId="14023" xr:uid="{17ED49B5-6E67-4618-AD7B-7B4387FF29B9}"/>
    <cellStyle name="Normal 4 4 2 2 3 3 4" xfId="9805" xr:uid="{C41A7D97-ED05-44A5-8CE4-FE8583A35708}"/>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16581" xr:uid="{A848CDED-C743-465B-A7C3-FD9845D635DE}"/>
    <cellStyle name="Normal 4 4 2 2 3 4 2 3" xfId="12363" xr:uid="{4596E1D2-5595-4DB1-B525-2BFC40E2521C}"/>
    <cellStyle name="Normal 4 4 2 2 3 4 3" xfId="5997" xr:uid="{00000000-0005-0000-0000-0000FB140000}"/>
    <cellStyle name="Normal 4 4 2 2 3 4 3 2" xfId="14436" xr:uid="{034E1F84-955D-4094-883D-6935C587AAFE}"/>
    <cellStyle name="Normal 4 4 2 2 3 4 4" xfId="10218" xr:uid="{E6E84CEB-B103-4CA7-849E-8A51AF2AEFA3}"/>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16994" xr:uid="{69BC8ACA-CD47-4D06-ACC8-FA81DE032394}"/>
    <cellStyle name="Normal 4 4 2 2 3 5 2 3" xfId="12776" xr:uid="{F776F682-D1F5-4CEB-B929-178EFE201AC3}"/>
    <cellStyle name="Normal 4 4 2 2 3 5 3" xfId="6410" xr:uid="{00000000-0005-0000-0000-0000FF140000}"/>
    <cellStyle name="Normal 4 4 2 2 3 5 3 2" xfId="14849" xr:uid="{AF0015D4-F92F-4A0B-9689-313DBE055C76}"/>
    <cellStyle name="Normal 4 4 2 2 3 5 4" xfId="10631" xr:uid="{E5322621-58F5-4C06-B9A5-C63909BB373C}"/>
    <cellStyle name="Normal 4 4 2 2 3 6" xfId="2539" xr:uid="{00000000-0005-0000-0000-000000150000}"/>
    <cellStyle name="Normal 4 4 2 2 3 6 2" xfId="6823" xr:uid="{00000000-0005-0000-0000-000001150000}"/>
    <cellStyle name="Normal 4 4 2 2 3 6 2 2" xfId="15262" xr:uid="{492F6DC6-F2F8-4627-9F29-ED01D2AE00FB}"/>
    <cellStyle name="Normal 4 4 2 2 3 6 3" xfId="11044" xr:uid="{3E8CD3D2-10D9-4746-B49F-C35AABBD5D26}"/>
    <cellStyle name="Normal 4 4 2 2 3 7" xfId="4758" xr:uid="{00000000-0005-0000-0000-000002150000}"/>
    <cellStyle name="Normal 4 4 2 2 3 7 2" xfId="13197" xr:uid="{28E9DC5A-28CF-4807-BB44-98FBC709A822}"/>
    <cellStyle name="Normal 4 4 2 2 3 8" xfId="8979" xr:uid="{25F0A4BC-4251-454E-9C77-845D6E449A79}"/>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5752" xr:uid="{D0510DED-18FB-4AA7-A8E7-31B45C074321}"/>
    <cellStyle name="Normal 4 4 2 2 4 2 3" xfId="11534" xr:uid="{53EB6B33-E2AE-4B26-A52F-D5C4AA98BBEA}"/>
    <cellStyle name="Normal 4 4 2 2 4 3" xfId="5168" xr:uid="{00000000-0005-0000-0000-000006150000}"/>
    <cellStyle name="Normal 4 4 2 2 4 3 2" xfId="13607" xr:uid="{E9BB2915-1A39-4D06-B5C0-0C75FABC1F4B}"/>
    <cellStyle name="Normal 4 4 2 2 4 4" xfId="9389" xr:uid="{39D08112-3137-45ED-BEE8-9E60384EECED}"/>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16165" xr:uid="{304EB925-98F1-4D3A-A119-203DA2B7D19A}"/>
    <cellStyle name="Normal 4 4 2 2 5 2 3" xfId="11947" xr:uid="{1FA59358-A9B5-4270-A936-4925CCEFC493}"/>
    <cellStyle name="Normal 4 4 2 2 5 3" xfId="5581" xr:uid="{00000000-0005-0000-0000-00000A150000}"/>
    <cellStyle name="Normal 4 4 2 2 5 3 2" xfId="14020" xr:uid="{F4874E6B-7EC3-4758-8C6C-2E51A648A7BC}"/>
    <cellStyle name="Normal 4 4 2 2 5 4" xfId="9802" xr:uid="{3941C9EE-A2A1-4BD5-9A8F-B69B77407A9D}"/>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16578" xr:uid="{60BD41FF-C61F-4110-9311-5037B24CD189}"/>
    <cellStyle name="Normal 4 4 2 2 6 2 3" xfId="12360" xr:uid="{890109B0-8D6D-4700-B6B6-A0D109F8BD4A}"/>
    <cellStyle name="Normal 4 4 2 2 6 3" xfId="5994" xr:uid="{00000000-0005-0000-0000-00000E150000}"/>
    <cellStyle name="Normal 4 4 2 2 6 3 2" xfId="14433" xr:uid="{4BB153EF-B586-4B92-AF10-0F605BFC91A0}"/>
    <cellStyle name="Normal 4 4 2 2 6 4" xfId="10215" xr:uid="{6FE564AF-FF09-4F76-B325-185653C83F3D}"/>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16991" xr:uid="{C11F8A12-CED0-4A32-A621-8636F0629907}"/>
    <cellStyle name="Normal 4 4 2 2 7 2 3" xfId="12773" xr:uid="{A3F537E6-FC93-4EF3-A540-020D00FFE58E}"/>
    <cellStyle name="Normal 4 4 2 2 7 3" xfId="6407" xr:uid="{00000000-0005-0000-0000-000012150000}"/>
    <cellStyle name="Normal 4 4 2 2 7 3 2" xfId="14846" xr:uid="{43C03C75-C4B7-4E9F-9E14-11750DAA0783}"/>
    <cellStyle name="Normal 4 4 2 2 7 4" xfId="10628" xr:uid="{56A31863-5B7C-4347-A0A9-B7CB70DBABF1}"/>
    <cellStyle name="Normal 4 4 2 2 8" xfId="2536" xr:uid="{00000000-0005-0000-0000-000013150000}"/>
    <cellStyle name="Normal 4 4 2 2 8 2" xfId="6820" xr:uid="{00000000-0005-0000-0000-000014150000}"/>
    <cellStyle name="Normal 4 4 2 2 8 2 2" xfId="15259" xr:uid="{53422791-C669-4DC5-90AD-290E9852E607}"/>
    <cellStyle name="Normal 4 4 2 2 8 3" xfId="11041" xr:uid="{0EB4876D-7710-4AB1-B989-95363D2C22AA}"/>
    <cellStyle name="Normal 4 4 2 2 9" xfId="4755" xr:uid="{00000000-0005-0000-0000-000015150000}"/>
    <cellStyle name="Normal 4 4 2 2 9 2" xfId="13194" xr:uid="{9B65AD62-535D-41F5-AD69-FE1927D4103F}"/>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5757" xr:uid="{E7ECE898-FE7C-42D0-8B44-9617DD1D9E00}"/>
    <cellStyle name="Normal 4 4 2 3 2 2 2 3" xfId="11539" xr:uid="{AB9832AD-1E64-4E17-B8AF-E277E8D5B3CB}"/>
    <cellStyle name="Normal 4 4 2 3 2 2 3" xfId="5173" xr:uid="{00000000-0005-0000-0000-00001B150000}"/>
    <cellStyle name="Normal 4 4 2 3 2 2 3 2" xfId="13612" xr:uid="{3B75F389-B224-4402-986E-A3B8690FE3AE}"/>
    <cellStyle name="Normal 4 4 2 3 2 2 4" xfId="9394" xr:uid="{918215BE-032E-4168-89E8-8F97284FA7F7}"/>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16170" xr:uid="{FBD71A21-81C3-42C0-BCFC-3CC52F9D081A}"/>
    <cellStyle name="Normal 4 4 2 3 2 3 2 3" xfId="11952" xr:uid="{BEDD7497-4E92-4B63-A236-65E67C0209E2}"/>
    <cellStyle name="Normal 4 4 2 3 2 3 3" xfId="5586" xr:uid="{00000000-0005-0000-0000-00001F150000}"/>
    <cellStyle name="Normal 4 4 2 3 2 3 3 2" xfId="14025" xr:uid="{B84FB170-2F6A-4559-8A2A-DD093A6866C3}"/>
    <cellStyle name="Normal 4 4 2 3 2 3 4" xfId="9807" xr:uid="{D899079E-9CAF-4126-97E7-528EA669693E}"/>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16583" xr:uid="{24598693-FDCB-476F-89C5-E500FB2E127D}"/>
    <cellStyle name="Normal 4 4 2 3 2 4 2 3" xfId="12365" xr:uid="{DF8E126B-11B8-4927-8026-688834DCF4B4}"/>
    <cellStyle name="Normal 4 4 2 3 2 4 3" xfId="5999" xr:uid="{00000000-0005-0000-0000-000023150000}"/>
    <cellStyle name="Normal 4 4 2 3 2 4 3 2" xfId="14438" xr:uid="{5278A9A1-B481-437E-B4C1-F7A1BABA6D83}"/>
    <cellStyle name="Normal 4 4 2 3 2 4 4" xfId="10220" xr:uid="{2EFF8172-775E-4575-AA5F-90BBDEF6800D}"/>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16996" xr:uid="{3808263F-D9AB-4351-B3AB-828AA264A9B6}"/>
    <cellStyle name="Normal 4 4 2 3 2 5 2 3" xfId="12778" xr:uid="{22908CBF-222C-4EA2-867B-A953706C4980}"/>
    <cellStyle name="Normal 4 4 2 3 2 5 3" xfId="6412" xr:uid="{00000000-0005-0000-0000-000027150000}"/>
    <cellStyle name="Normal 4 4 2 3 2 5 3 2" xfId="14851" xr:uid="{ECB454AC-DF69-4119-9A62-7E9AF89890D1}"/>
    <cellStyle name="Normal 4 4 2 3 2 5 4" xfId="10633" xr:uid="{A4782343-2312-46C5-B6D3-EEB0929F9EF0}"/>
    <cellStyle name="Normal 4 4 2 3 2 6" xfId="2541" xr:uid="{00000000-0005-0000-0000-000028150000}"/>
    <cellStyle name="Normal 4 4 2 3 2 6 2" xfId="6825" xr:uid="{00000000-0005-0000-0000-000029150000}"/>
    <cellStyle name="Normal 4 4 2 3 2 6 2 2" xfId="15264" xr:uid="{04C0B3BC-CEC5-4DF0-916D-DA54AEC73434}"/>
    <cellStyle name="Normal 4 4 2 3 2 6 3" xfId="11046" xr:uid="{71E3B9FA-0A60-414E-9B7E-E8EB4A532B62}"/>
    <cellStyle name="Normal 4 4 2 3 2 7" xfId="4760" xr:uid="{00000000-0005-0000-0000-00002A150000}"/>
    <cellStyle name="Normal 4 4 2 3 2 7 2" xfId="13199" xr:uid="{1B55D264-E986-47A6-945A-C80BD3DFE499}"/>
    <cellStyle name="Normal 4 4 2 3 2 8" xfId="8981" xr:uid="{319F9042-E5AB-499F-A626-3DAF65F0727C}"/>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5756" xr:uid="{96F5A6A6-5C59-4C40-BA99-6F4C346BFE90}"/>
    <cellStyle name="Normal 4 4 2 3 3 2 3" xfId="11538" xr:uid="{28C88530-9D5A-4EC8-82DC-E43868592A78}"/>
    <cellStyle name="Normal 4 4 2 3 3 3" xfId="5172" xr:uid="{00000000-0005-0000-0000-00002E150000}"/>
    <cellStyle name="Normal 4 4 2 3 3 3 2" xfId="13611" xr:uid="{FC83CAA4-6C29-4511-A58C-5BC5E80C8C84}"/>
    <cellStyle name="Normal 4 4 2 3 3 4" xfId="9393" xr:uid="{670328B7-3C97-4E6C-8C58-BED648CD3114}"/>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16169" xr:uid="{1D29E67B-AE55-4CE3-8A9E-AF5D27F16943}"/>
    <cellStyle name="Normal 4 4 2 3 4 2 3" xfId="11951" xr:uid="{AB2B325E-AB77-4A0F-9E0B-1FAD29AA9531}"/>
    <cellStyle name="Normal 4 4 2 3 4 3" xfId="5585" xr:uid="{00000000-0005-0000-0000-000032150000}"/>
    <cellStyle name="Normal 4 4 2 3 4 3 2" xfId="14024" xr:uid="{67EB3BB2-2B2B-461D-B2D9-635DD9A83793}"/>
    <cellStyle name="Normal 4 4 2 3 4 4" xfId="9806" xr:uid="{373B46DC-A73E-4C3C-8B46-8FD94AEC4AE2}"/>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16582" xr:uid="{34F7BCB2-421E-4D90-85FA-8D789F6F65D2}"/>
    <cellStyle name="Normal 4 4 2 3 5 2 3" xfId="12364" xr:uid="{FB6AB0FF-0570-45DA-88BB-BA2CDCEF46CF}"/>
    <cellStyle name="Normal 4 4 2 3 5 3" xfId="5998" xr:uid="{00000000-0005-0000-0000-000036150000}"/>
    <cellStyle name="Normal 4 4 2 3 5 3 2" xfId="14437" xr:uid="{E4CFAEEC-C2C1-4E2C-84F7-0A1CC30F43B4}"/>
    <cellStyle name="Normal 4 4 2 3 5 4" xfId="10219" xr:uid="{DD8A37F2-E7A6-4483-9B88-8516A7A12044}"/>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16995" xr:uid="{86D7CF67-21D9-48D9-860A-DD0020EB53C4}"/>
    <cellStyle name="Normal 4 4 2 3 6 2 3" xfId="12777" xr:uid="{C5C2D61F-BC6E-4D00-9CC0-1B312F4756BD}"/>
    <cellStyle name="Normal 4 4 2 3 6 3" xfId="6411" xr:uid="{00000000-0005-0000-0000-00003A150000}"/>
    <cellStyle name="Normal 4 4 2 3 6 3 2" xfId="14850" xr:uid="{27AE23B3-C92C-4973-9C44-0C1E5DE5B2BC}"/>
    <cellStyle name="Normal 4 4 2 3 6 4" xfId="10632" xr:uid="{9EE9A0C1-D3E4-4610-B9AA-9F8ADDADFF31}"/>
    <cellStyle name="Normal 4 4 2 3 7" xfId="2540" xr:uid="{00000000-0005-0000-0000-00003B150000}"/>
    <cellStyle name="Normal 4 4 2 3 7 2" xfId="6824" xr:uid="{00000000-0005-0000-0000-00003C150000}"/>
    <cellStyle name="Normal 4 4 2 3 7 2 2" xfId="15263" xr:uid="{A215DB56-1EEF-4B84-863E-2A97B24D9E4C}"/>
    <cellStyle name="Normal 4 4 2 3 7 3" xfId="11045" xr:uid="{84B37840-CF16-4916-A11B-0105EF0E343A}"/>
    <cellStyle name="Normal 4 4 2 3 8" xfId="4759" xr:uid="{00000000-0005-0000-0000-00003D150000}"/>
    <cellStyle name="Normal 4 4 2 3 8 2" xfId="13198" xr:uid="{3D12F511-D782-45A9-ADBB-D0CB34A7B0A1}"/>
    <cellStyle name="Normal 4 4 2 3 9" xfId="8980" xr:uid="{E7C4C113-6EBC-4FBB-9E62-BD85EE283FC4}"/>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5758" xr:uid="{B083FCA1-0E28-4D01-AB2C-8C058525E207}"/>
    <cellStyle name="Normal 4 4 2 4 2 2 3" xfId="11540" xr:uid="{D09CC72E-4ED0-4CD4-8C9B-BB970CDCCF86}"/>
    <cellStyle name="Normal 4 4 2 4 2 3" xfId="5174" xr:uid="{00000000-0005-0000-0000-000042150000}"/>
    <cellStyle name="Normal 4 4 2 4 2 3 2" xfId="13613" xr:uid="{3A6805F3-A58C-42C6-9328-590395EB77AB}"/>
    <cellStyle name="Normal 4 4 2 4 2 4" xfId="9395" xr:uid="{2DA2A981-5977-47E0-A88E-FDF301D6B6F9}"/>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16171" xr:uid="{765EB9D8-2790-432F-8967-7A0D333BCBA1}"/>
    <cellStyle name="Normal 4 4 2 4 3 2 3" xfId="11953" xr:uid="{F712189C-6D4C-4E08-A5B1-F9F7A136B248}"/>
    <cellStyle name="Normal 4 4 2 4 3 3" xfId="5587" xr:uid="{00000000-0005-0000-0000-000046150000}"/>
    <cellStyle name="Normal 4 4 2 4 3 3 2" xfId="14026" xr:uid="{2DE29EDF-F990-48D2-8744-D955A7A66623}"/>
    <cellStyle name="Normal 4 4 2 4 3 4" xfId="9808" xr:uid="{5D298EBC-6DD2-4ED1-9952-5C7DBEF65D8F}"/>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16584" xr:uid="{3CD78BF8-8390-4734-8A80-14B29F6EA193}"/>
    <cellStyle name="Normal 4 4 2 4 4 2 3" xfId="12366" xr:uid="{202245F4-085B-4189-8095-2D6803CBE69C}"/>
    <cellStyle name="Normal 4 4 2 4 4 3" xfId="6000" xr:uid="{00000000-0005-0000-0000-00004A150000}"/>
    <cellStyle name="Normal 4 4 2 4 4 3 2" xfId="14439" xr:uid="{E62FFBAE-6A8A-48D5-AE67-66A2460A5106}"/>
    <cellStyle name="Normal 4 4 2 4 4 4" xfId="10221" xr:uid="{6E7C2308-00EB-4F86-8EC4-E5C2833E15B4}"/>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16997" xr:uid="{D6DBA8BD-EB0D-4AE9-8A30-4B479430856C}"/>
    <cellStyle name="Normal 4 4 2 4 5 2 3" xfId="12779" xr:uid="{11B0857F-1EF8-474F-AC39-F8CE625AB697}"/>
    <cellStyle name="Normal 4 4 2 4 5 3" xfId="6413" xr:uid="{00000000-0005-0000-0000-00004E150000}"/>
    <cellStyle name="Normal 4 4 2 4 5 3 2" xfId="14852" xr:uid="{2FE3B0F4-0A4C-467A-AC9E-D992D3C6E667}"/>
    <cellStyle name="Normal 4 4 2 4 5 4" xfId="10634" xr:uid="{582405BE-B0F9-4237-954C-54FB20A4FC8C}"/>
    <cellStyle name="Normal 4 4 2 4 6" xfId="2542" xr:uid="{00000000-0005-0000-0000-00004F150000}"/>
    <cellStyle name="Normal 4 4 2 4 6 2" xfId="6826" xr:uid="{00000000-0005-0000-0000-000050150000}"/>
    <cellStyle name="Normal 4 4 2 4 6 2 2" xfId="15265" xr:uid="{38852231-9C3C-424B-B4FE-6DDDAD305383}"/>
    <cellStyle name="Normal 4 4 2 4 6 3" xfId="11047" xr:uid="{E2FAD535-45AD-40E8-8576-BFD13FF88C7E}"/>
    <cellStyle name="Normal 4 4 2 4 7" xfId="4761" xr:uid="{00000000-0005-0000-0000-000051150000}"/>
    <cellStyle name="Normal 4 4 2 4 7 2" xfId="13200" xr:uid="{360FDC65-2977-4CE9-B4E8-839D27E2B874}"/>
    <cellStyle name="Normal 4 4 2 4 8" xfId="8982" xr:uid="{B687C625-5184-4792-88C0-BB24E8488A43}"/>
    <cellStyle name="Normal 4 4 2 5" xfId="854" xr:uid="{00000000-0005-0000-0000-000052150000}"/>
    <cellStyle name="Normal 4 4 2 5 2" xfId="3089" xr:uid="{00000000-0005-0000-0000-000053150000}"/>
    <cellStyle name="Normal 4 4 2 5 2 2" xfId="7312" xr:uid="{00000000-0005-0000-0000-000054150000}"/>
    <cellStyle name="Normal 4 4 2 5 2 2 2" xfId="15751" xr:uid="{6DFC4BCD-34D6-4ADE-AD01-EC252CE68F3A}"/>
    <cellStyle name="Normal 4 4 2 5 2 3" xfId="11533" xr:uid="{F34837F9-A4D7-4FB0-8DA0-DB6D4069AD47}"/>
    <cellStyle name="Normal 4 4 2 5 3" xfId="5167" xr:uid="{00000000-0005-0000-0000-000055150000}"/>
    <cellStyle name="Normal 4 4 2 5 3 2" xfId="13606" xr:uid="{3642F67C-24FD-41E3-9A6C-8C711C8FC69A}"/>
    <cellStyle name="Normal 4 4 2 5 4" xfId="9388" xr:uid="{4319C246-F7F9-4261-8C1B-1CE1D94DE88C}"/>
    <cellStyle name="Normal 4 4 2 6" xfId="1272" xr:uid="{00000000-0005-0000-0000-000056150000}"/>
    <cellStyle name="Normal 4 4 2 6 2" xfId="3502" xr:uid="{00000000-0005-0000-0000-000057150000}"/>
    <cellStyle name="Normal 4 4 2 6 2 2" xfId="7725" xr:uid="{00000000-0005-0000-0000-000058150000}"/>
    <cellStyle name="Normal 4 4 2 6 2 2 2" xfId="16164" xr:uid="{E5CD0AA1-72A6-4E9D-BB8E-B78152A468BF}"/>
    <cellStyle name="Normal 4 4 2 6 2 3" xfId="11946" xr:uid="{9BACAAAA-B330-41D1-9175-AD21BF918192}"/>
    <cellStyle name="Normal 4 4 2 6 3" xfId="5580" xr:uid="{00000000-0005-0000-0000-000059150000}"/>
    <cellStyle name="Normal 4 4 2 6 3 2" xfId="14019" xr:uid="{74A5E2A7-4D6E-49CC-833F-2F913E08FC8C}"/>
    <cellStyle name="Normal 4 4 2 6 4" xfId="9801" xr:uid="{6697CD0A-E5EE-43FA-ABF7-E082EC77612D}"/>
    <cellStyle name="Normal 4 4 2 7" xfId="1685" xr:uid="{00000000-0005-0000-0000-00005A150000}"/>
    <cellStyle name="Normal 4 4 2 7 2" xfId="3915" xr:uid="{00000000-0005-0000-0000-00005B150000}"/>
    <cellStyle name="Normal 4 4 2 7 2 2" xfId="8138" xr:uid="{00000000-0005-0000-0000-00005C150000}"/>
    <cellStyle name="Normal 4 4 2 7 2 2 2" xfId="16577" xr:uid="{1E11BDF8-74CC-45E4-8373-CAECC2A158D8}"/>
    <cellStyle name="Normal 4 4 2 7 2 3" xfId="12359" xr:uid="{B0FBA4EC-C46E-4806-8084-15C041F1B890}"/>
    <cellStyle name="Normal 4 4 2 7 3" xfId="5993" xr:uid="{00000000-0005-0000-0000-00005D150000}"/>
    <cellStyle name="Normal 4 4 2 7 3 2" xfId="14432" xr:uid="{83C45F17-EDFB-41C7-9144-51965AEE98DF}"/>
    <cellStyle name="Normal 4 4 2 7 4" xfId="10214" xr:uid="{B4999412-CDFD-483B-ADAD-C9CD9A880F7F}"/>
    <cellStyle name="Normal 4 4 2 8" xfId="2099" xr:uid="{00000000-0005-0000-0000-00005E150000}"/>
    <cellStyle name="Normal 4 4 2 8 2" xfId="4328" xr:uid="{00000000-0005-0000-0000-00005F150000}"/>
    <cellStyle name="Normal 4 4 2 8 2 2" xfId="8551" xr:uid="{00000000-0005-0000-0000-000060150000}"/>
    <cellStyle name="Normal 4 4 2 8 2 2 2" xfId="16990" xr:uid="{C7D6DABF-F86A-408F-8442-B64563FC0469}"/>
    <cellStyle name="Normal 4 4 2 8 2 3" xfId="12772" xr:uid="{605D97C6-CD37-4B69-83C0-D5E372F7CDAA}"/>
    <cellStyle name="Normal 4 4 2 8 3" xfId="6406" xr:uid="{00000000-0005-0000-0000-000061150000}"/>
    <cellStyle name="Normal 4 4 2 8 3 2" xfId="14845" xr:uid="{1239AC14-AA90-4AF9-8DF7-1BCF88777CC4}"/>
    <cellStyle name="Normal 4 4 2 8 4" xfId="10627" xr:uid="{7475AC43-67F9-49AF-A823-A6ADD65D6F86}"/>
    <cellStyle name="Normal 4 4 2 9" xfId="2535" xr:uid="{00000000-0005-0000-0000-000062150000}"/>
    <cellStyle name="Normal 4 4 2 9 2" xfId="6819" xr:uid="{00000000-0005-0000-0000-000063150000}"/>
    <cellStyle name="Normal 4 4 2 9 2 2" xfId="15258" xr:uid="{D1754417-C251-40F5-BBF4-34E5258C8840}"/>
    <cellStyle name="Normal 4 4 2 9 3" xfId="11040" xr:uid="{1587D0CF-6722-4958-AD9F-77C6E8CAD2A3}"/>
    <cellStyle name="Normal 4 4 3" xfId="387" xr:uid="{00000000-0005-0000-0000-000064150000}"/>
    <cellStyle name="Normal 4 4 3 10" xfId="8983" xr:uid="{396EBAE1-DBAE-407D-B6A7-94C1F5A0214F}"/>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5761" xr:uid="{B2223CCC-5E6F-40F8-8022-C607BCBEC9EA}"/>
    <cellStyle name="Normal 4 4 3 2 2 2 2 3" xfId="11543" xr:uid="{A34A5052-42C9-464A-B54A-B285DB52E6DB}"/>
    <cellStyle name="Normal 4 4 3 2 2 2 3" xfId="5177" xr:uid="{00000000-0005-0000-0000-00006A150000}"/>
    <cellStyle name="Normal 4 4 3 2 2 2 3 2" xfId="13616" xr:uid="{9F4DEA36-1C46-4916-88F9-5E154AEE454D}"/>
    <cellStyle name="Normal 4 4 3 2 2 2 4" xfId="9398" xr:uid="{A53087D4-2D13-4A4C-ABCA-5CF679687298}"/>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16174" xr:uid="{27B2CDC6-3D20-4D44-8C50-D8744091E79D}"/>
    <cellStyle name="Normal 4 4 3 2 2 3 2 3" xfId="11956" xr:uid="{BD206A3B-83EA-4C67-A71F-372F7F2877EA}"/>
    <cellStyle name="Normal 4 4 3 2 2 3 3" xfId="5590" xr:uid="{00000000-0005-0000-0000-00006E150000}"/>
    <cellStyle name="Normal 4 4 3 2 2 3 3 2" xfId="14029" xr:uid="{EF00526E-F8DF-4798-9DA3-C3AC0DD70D92}"/>
    <cellStyle name="Normal 4 4 3 2 2 3 4" xfId="9811" xr:uid="{375F6D62-2CB3-49E5-87B9-2ED1344D478C}"/>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16587" xr:uid="{26184EC7-86E6-4309-A2DD-1B127DDB18E8}"/>
    <cellStyle name="Normal 4 4 3 2 2 4 2 3" xfId="12369" xr:uid="{6B0D6896-06F0-48F5-8031-011BA3E29934}"/>
    <cellStyle name="Normal 4 4 3 2 2 4 3" xfId="6003" xr:uid="{00000000-0005-0000-0000-000072150000}"/>
    <cellStyle name="Normal 4 4 3 2 2 4 3 2" xfId="14442" xr:uid="{A46FE07F-0DF8-40DA-A513-6D8FBC4C45FE}"/>
    <cellStyle name="Normal 4 4 3 2 2 4 4" xfId="10224" xr:uid="{6E70AAD9-FE2D-4B3F-8E24-C767741F92C8}"/>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17000" xr:uid="{0FFDEA30-9202-4E58-82FB-A43A91E9D6B7}"/>
    <cellStyle name="Normal 4 4 3 2 2 5 2 3" xfId="12782" xr:uid="{1A68530A-1485-4B24-9712-60D888C2D6DF}"/>
    <cellStyle name="Normal 4 4 3 2 2 5 3" xfId="6416" xr:uid="{00000000-0005-0000-0000-000076150000}"/>
    <cellStyle name="Normal 4 4 3 2 2 5 3 2" xfId="14855" xr:uid="{B21E6CE7-25D8-42CE-8EDF-D367BAAEAFEB}"/>
    <cellStyle name="Normal 4 4 3 2 2 5 4" xfId="10637" xr:uid="{C6E416E2-869A-465A-8FFC-643CA67F22CD}"/>
    <cellStyle name="Normal 4 4 3 2 2 6" xfId="2545" xr:uid="{00000000-0005-0000-0000-000077150000}"/>
    <cellStyle name="Normal 4 4 3 2 2 6 2" xfId="6829" xr:uid="{00000000-0005-0000-0000-000078150000}"/>
    <cellStyle name="Normal 4 4 3 2 2 6 2 2" xfId="15268" xr:uid="{C5BE7523-B641-4F2B-B4A3-92A06C00ED2E}"/>
    <cellStyle name="Normal 4 4 3 2 2 6 3" xfId="11050" xr:uid="{C5CDCDE6-33CD-44DB-ADAE-A782D6C1249A}"/>
    <cellStyle name="Normal 4 4 3 2 2 7" xfId="4764" xr:uid="{00000000-0005-0000-0000-000079150000}"/>
    <cellStyle name="Normal 4 4 3 2 2 7 2" xfId="13203" xr:uid="{2074FD5F-AA6F-4055-90F2-3A72522DDC6F}"/>
    <cellStyle name="Normal 4 4 3 2 2 8" xfId="8985" xr:uid="{DEF37686-09EE-4086-9234-EA401BBACEB6}"/>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5760" xr:uid="{6676DC8E-86CF-4312-9E7B-6180289B7719}"/>
    <cellStyle name="Normal 4 4 3 2 3 2 3" xfId="11542" xr:uid="{BC5E00AC-1FE0-4C25-8918-B2AD01436386}"/>
    <cellStyle name="Normal 4 4 3 2 3 3" xfId="5176" xr:uid="{00000000-0005-0000-0000-00007D150000}"/>
    <cellStyle name="Normal 4 4 3 2 3 3 2" xfId="13615" xr:uid="{C0DC09C4-D365-4FC3-80B1-F37F0E3F979C}"/>
    <cellStyle name="Normal 4 4 3 2 3 4" xfId="9397" xr:uid="{B9557EAD-26AB-4218-B916-C798D698C94C}"/>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16173" xr:uid="{FF58A4FB-E9AA-4059-93E2-9AB80373DA3F}"/>
    <cellStyle name="Normal 4 4 3 2 4 2 3" xfId="11955" xr:uid="{F4CDB456-E26F-460C-AD6E-4CDC1B5907C8}"/>
    <cellStyle name="Normal 4 4 3 2 4 3" xfId="5589" xr:uid="{00000000-0005-0000-0000-000081150000}"/>
    <cellStyle name="Normal 4 4 3 2 4 3 2" xfId="14028" xr:uid="{C7513D47-57E2-4B44-B914-4E8F6027D1DE}"/>
    <cellStyle name="Normal 4 4 3 2 4 4" xfId="9810" xr:uid="{3A984894-96A8-439E-A558-454101771628}"/>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16586" xr:uid="{A3E7D017-F606-4093-9492-56569E558D1F}"/>
    <cellStyle name="Normal 4 4 3 2 5 2 3" xfId="12368" xr:uid="{78437686-3EA6-439E-AB9F-1DCDFA5E0DF9}"/>
    <cellStyle name="Normal 4 4 3 2 5 3" xfId="6002" xr:uid="{00000000-0005-0000-0000-000085150000}"/>
    <cellStyle name="Normal 4 4 3 2 5 3 2" xfId="14441" xr:uid="{16785946-FF72-46E1-AB8C-DD639FEDFCF1}"/>
    <cellStyle name="Normal 4 4 3 2 5 4" xfId="10223" xr:uid="{C57B74DB-E3C0-4630-A69A-E4D42AD78407}"/>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16999" xr:uid="{AE63FD8C-9946-4E78-8B7D-EDBEE72EE971}"/>
    <cellStyle name="Normal 4 4 3 2 6 2 3" xfId="12781" xr:uid="{95E0D3E2-234D-4A6C-AA05-6DD0493061A5}"/>
    <cellStyle name="Normal 4 4 3 2 6 3" xfId="6415" xr:uid="{00000000-0005-0000-0000-000089150000}"/>
    <cellStyle name="Normal 4 4 3 2 6 3 2" xfId="14854" xr:uid="{86D424AF-81D7-46BC-90A8-7C12051D5692}"/>
    <cellStyle name="Normal 4 4 3 2 6 4" xfId="10636" xr:uid="{2A6DDCBB-EA95-4DAD-9FFD-33FC126E47FC}"/>
    <cellStyle name="Normal 4 4 3 2 7" xfId="2544" xr:uid="{00000000-0005-0000-0000-00008A150000}"/>
    <cellStyle name="Normal 4 4 3 2 7 2" xfId="6828" xr:uid="{00000000-0005-0000-0000-00008B150000}"/>
    <cellStyle name="Normal 4 4 3 2 7 2 2" xfId="15267" xr:uid="{13C45F93-8FF8-47E5-A9E0-35CEB5743DD1}"/>
    <cellStyle name="Normal 4 4 3 2 7 3" xfId="11049" xr:uid="{6BD7C6E4-030B-46A0-A0D9-9871CCC4E923}"/>
    <cellStyle name="Normal 4 4 3 2 8" xfId="4763" xr:uid="{00000000-0005-0000-0000-00008C150000}"/>
    <cellStyle name="Normal 4 4 3 2 8 2" xfId="13202" xr:uid="{CB3E2656-7FCA-467B-BAD7-13DFD12BFCED}"/>
    <cellStyle name="Normal 4 4 3 2 9" xfId="8984" xr:uid="{44E87E5A-FC18-499B-B9F6-CA4A3DDF7B53}"/>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5762" xr:uid="{1816A26C-299F-42A1-9A5D-3F6FD52EFDC6}"/>
    <cellStyle name="Normal 4 4 3 3 2 2 3" xfId="11544" xr:uid="{182FB337-E963-4A39-9BD9-5F6F0FFC9800}"/>
    <cellStyle name="Normal 4 4 3 3 2 3" xfId="5178" xr:uid="{00000000-0005-0000-0000-000091150000}"/>
    <cellStyle name="Normal 4 4 3 3 2 3 2" xfId="13617" xr:uid="{39591626-F09A-4AB3-BC1A-F3423A4F98BD}"/>
    <cellStyle name="Normal 4 4 3 3 2 4" xfId="9399" xr:uid="{BD96EB35-B203-4251-9CBE-7D263A1C0BBC}"/>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16175" xr:uid="{A37678A0-756E-43CE-911B-B54C27F0FAE7}"/>
    <cellStyle name="Normal 4 4 3 3 3 2 3" xfId="11957" xr:uid="{5D1ADDDB-B884-42AD-9A64-60A31FCFC8F4}"/>
    <cellStyle name="Normal 4 4 3 3 3 3" xfId="5591" xr:uid="{00000000-0005-0000-0000-000095150000}"/>
    <cellStyle name="Normal 4 4 3 3 3 3 2" xfId="14030" xr:uid="{7E2334CD-85EF-4007-83DE-1E4DBC80AA39}"/>
    <cellStyle name="Normal 4 4 3 3 3 4" xfId="9812" xr:uid="{A49C4FB7-B2AF-4178-A5AF-0A65CD875CEB}"/>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16588" xr:uid="{D65A7BCA-C271-43FF-BD10-AAF17EED5DB6}"/>
    <cellStyle name="Normal 4 4 3 3 4 2 3" xfId="12370" xr:uid="{AB89DCF0-9D07-4146-92F9-EF8BD5D36238}"/>
    <cellStyle name="Normal 4 4 3 3 4 3" xfId="6004" xr:uid="{00000000-0005-0000-0000-000099150000}"/>
    <cellStyle name="Normal 4 4 3 3 4 3 2" xfId="14443" xr:uid="{D51CEC22-A31F-409B-8785-37C76206F278}"/>
    <cellStyle name="Normal 4 4 3 3 4 4" xfId="10225" xr:uid="{C0A30172-9E97-4EFC-9403-5337885AAF33}"/>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17001" xr:uid="{0AD7F8E2-A228-4D3D-884D-7F8F0AAC4401}"/>
    <cellStyle name="Normal 4 4 3 3 5 2 3" xfId="12783" xr:uid="{C87D12EC-C488-4280-9FEF-10C7D4A817C0}"/>
    <cellStyle name="Normal 4 4 3 3 5 3" xfId="6417" xr:uid="{00000000-0005-0000-0000-00009D150000}"/>
    <cellStyle name="Normal 4 4 3 3 5 3 2" xfId="14856" xr:uid="{1D3AD7DE-19A1-4E91-A660-5C0737162D1A}"/>
    <cellStyle name="Normal 4 4 3 3 5 4" xfId="10638" xr:uid="{FF922322-1D57-40DF-9F3C-DB75BE834938}"/>
    <cellStyle name="Normal 4 4 3 3 6" xfId="2546" xr:uid="{00000000-0005-0000-0000-00009E150000}"/>
    <cellStyle name="Normal 4 4 3 3 6 2" xfId="6830" xr:uid="{00000000-0005-0000-0000-00009F150000}"/>
    <cellStyle name="Normal 4 4 3 3 6 2 2" xfId="15269" xr:uid="{022345FB-D2B1-49A4-B086-0F5D17CB870E}"/>
    <cellStyle name="Normal 4 4 3 3 6 3" xfId="11051" xr:uid="{30384451-BADC-4D93-91A8-956898C76960}"/>
    <cellStyle name="Normal 4 4 3 3 7" xfId="4765" xr:uid="{00000000-0005-0000-0000-0000A0150000}"/>
    <cellStyle name="Normal 4 4 3 3 7 2" xfId="13204" xr:uid="{1B8C5E6F-FC6F-4A30-996F-5C6A53F95C23}"/>
    <cellStyle name="Normal 4 4 3 3 8" xfId="8986" xr:uid="{E23E86C7-AFEB-40E5-852A-AD3F5E9DF24A}"/>
    <cellStyle name="Normal 4 4 3 4" xfId="862" xr:uid="{00000000-0005-0000-0000-0000A1150000}"/>
    <cellStyle name="Normal 4 4 3 4 2" xfId="3097" xr:uid="{00000000-0005-0000-0000-0000A2150000}"/>
    <cellStyle name="Normal 4 4 3 4 2 2" xfId="7320" xr:uid="{00000000-0005-0000-0000-0000A3150000}"/>
    <cellStyle name="Normal 4 4 3 4 2 2 2" xfId="15759" xr:uid="{2BE4AEEB-6779-4427-98C3-A510EC20AE32}"/>
    <cellStyle name="Normal 4 4 3 4 2 3" xfId="11541" xr:uid="{52BB2197-BD5A-4A4F-9E88-FDB8908FEB17}"/>
    <cellStyle name="Normal 4 4 3 4 3" xfId="5175" xr:uid="{00000000-0005-0000-0000-0000A4150000}"/>
    <cellStyle name="Normal 4 4 3 4 3 2" xfId="13614" xr:uid="{8ACA655F-331F-46EE-A1DE-C5EFF7849C5E}"/>
    <cellStyle name="Normal 4 4 3 4 4" xfId="9396" xr:uid="{2C877933-E2E6-4D40-9929-27753F1C298B}"/>
    <cellStyle name="Normal 4 4 3 5" xfId="1280" xr:uid="{00000000-0005-0000-0000-0000A5150000}"/>
    <cellStyle name="Normal 4 4 3 5 2" xfId="3510" xr:uid="{00000000-0005-0000-0000-0000A6150000}"/>
    <cellStyle name="Normal 4 4 3 5 2 2" xfId="7733" xr:uid="{00000000-0005-0000-0000-0000A7150000}"/>
    <cellStyle name="Normal 4 4 3 5 2 2 2" xfId="16172" xr:uid="{C55758EC-1E0B-4266-82F5-266E6358E22F}"/>
    <cellStyle name="Normal 4 4 3 5 2 3" xfId="11954" xr:uid="{BEFB9DE1-2CA2-4566-90D8-90EC574C337D}"/>
    <cellStyle name="Normal 4 4 3 5 3" xfId="5588" xr:uid="{00000000-0005-0000-0000-0000A8150000}"/>
    <cellStyle name="Normal 4 4 3 5 3 2" xfId="14027" xr:uid="{EBDEEEF1-2479-416A-832F-042B09858BD2}"/>
    <cellStyle name="Normal 4 4 3 5 4" xfId="9809" xr:uid="{34EA05B9-B226-4186-931A-5E6A89D83C9F}"/>
    <cellStyle name="Normal 4 4 3 6" xfId="1693" xr:uid="{00000000-0005-0000-0000-0000A9150000}"/>
    <cellStyle name="Normal 4 4 3 6 2" xfId="3923" xr:uid="{00000000-0005-0000-0000-0000AA150000}"/>
    <cellStyle name="Normal 4 4 3 6 2 2" xfId="8146" xr:uid="{00000000-0005-0000-0000-0000AB150000}"/>
    <cellStyle name="Normal 4 4 3 6 2 2 2" xfId="16585" xr:uid="{3DDB7264-B073-4F91-B181-63D122A9A998}"/>
    <cellStyle name="Normal 4 4 3 6 2 3" xfId="12367" xr:uid="{2655B8DC-3497-4E63-9FE1-A063BD68FAE8}"/>
    <cellStyle name="Normal 4 4 3 6 3" xfId="6001" xr:uid="{00000000-0005-0000-0000-0000AC150000}"/>
    <cellStyle name="Normal 4 4 3 6 3 2" xfId="14440" xr:uid="{97BF0019-4414-4A4E-84E4-B557CA2DD4F0}"/>
    <cellStyle name="Normal 4 4 3 6 4" xfId="10222" xr:uid="{46789A1E-0FDC-4D9F-807E-DD1A7D2BBBF3}"/>
    <cellStyle name="Normal 4 4 3 7" xfId="2107" xr:uid="{00000000-0005-0000-0000-0000AD150000}"/>
    <cellStyle name="Normal 4 4 3 7 2" xfId="4336" xr:uid="{00000000-0005-0000-0000-0000AE150000}"/>
    <cellStyle name="Normal 4 4 3 7 2 2" xfId="8559" xr:uid="{00000000-0005-0000-0000-0000AF150000}"/>
    <cellStyle name="Normal 4 4 3 7 2 2 2" xfId="16998" xr:uid="{3A2AFC42-6811-4FB3-8C9D-79675074C010}"/>
    <cellStyle name="Normal 4 4 3 7 2 3" xfId="12780" xr:uid="{17C6EB94-1A48-4A78-9A04-C2F2F8658BDF}"/>
    <cellStyle name="Normal 4 4 3 7 3" xfId="6414" xr:uid="{00000000-0005-0000-0000-0000B0150000}"/>
    <cellStyle name="Normal 4 4 3 7 3 2" xfId="14853" xr:uid="{2EF6769D-0D12-4F0A-83E3-994271F4BFC5}"/>
    <cellStyle name="Normal 4 4 3 7 4" xfId="10635" xr:uid="{2E6E9C95-2895-46DD-8413-280DF5E644E9}"/>
    <cellStyle name="Normal 4 4 3 8" xfId="2543" xr:uid="{00000000-0005-0000-0000-0000B1150000}"/>
    <cellStyle name="Normal 4 4 3 8 2" xfId="6827" xr:uid="{00000000-0005-0000-0000-0000B2150000}"/>
    <cellStyle name="Normal 4 4 3 8 2 2" xfId="15266" xr:uid="{26763995-7A8D-40D4-8566-C21A13F49A6A}"/>
    <cellStyle name="Normal 4 4 3 8 3" xfId="11048" xr:uid="{114FA523-C879-40F8-A428-9469887D5834}"/>
    <cellStyle name="Normal 4 4 3 9" xfId="4762" xr:uid="{00000000-0005-0000-0000-0000B3150000}"/>
    <cellStyle name="Normal 4 4 3 9 2" xfId="13201" xr:uid="{0F7DC11B-6ACB-4798-A4E2-BD33E2C5F2EC}"/>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5764" xr:uid="{1131D68F-FC96-4FAE-99E7-C61626880B2B}"/>
    <cellStyle name="Normal 4 4 4 2 2 2 3" xfId="11546" xr:uid="{F191BDD7-6A30-4AA0-8C48-18F262DF8358}"/>
    <cellStyle name="Normal 4 4 4 2 2 3" xfId="5180" xr:uid="{00000000-0005-0000-0000-0000B9150000}"/>
    <cellStyle name="Normal 4 4 4 2 2 3 2" xfId="13619" xr:uid="{7CA1F7D6-C69A-4911-AF02-DB201127D76F}"/>
    <cellStyle name="Normal 4 4 4 2 2 4" xfId="9401" xr:uid="{D8FD545A-E56B-4B0C-95CE-AD600D1C5A64}"/>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16177" xr:uid="{E241FADA-0AB7-4847-AC34-66C83BFCE039}"/>
    <cellStyle name="Normal 4 4 4 2 3 2 3" xfId="11959" xr:uid="{96807653-3645-41AA-83FD-C4F4C2CBB259}"/>
    <cellStyle name="Normal 4 4 4 2 3 3" xfId="5593" xr:uid="{00000000-0005-0000-0000-0000BD150000}"/>
    <cellStyle name="Normal 4 4 4 2 3 3 2" xfId="14032" xr:uid="{A9DC26C9-DBE1-4522-A426-C09D73E6E0F3}"/>
    <cellStyle name="Normal 4 4 4 2 3 4" xfId="9814" xr:uid="{7C1FAD96-D82B-4BA8-8B81-7F95D3CD9E6C}"/>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16590" xr:uid="{A5A77FB2-A57F-4FCB-901D-D4F4F16E272B}"/>
    <cellStyle name="Normal 4 4 4 2 4 2 3" xfId="12372" xr:uid="{CCA6E544-EE2F-4445-B0A6-DB372CDF5503}"/>
    <cellStyle name="Normal 4 4 4 2 4 3" xfId="6006" xr:uid="{00000000-0005-0000-0000-0000C1150000}"/>
    <cellStyle name="Normal 4 4 4 2 4 3 2" xfId="14445" xr:uid="{24A4BA12-B28C-4C3C-8EEF-54EFA3ADB823}"/>
    <cellStyle name="Normal 4 4 4 2 4 4" xfId="10227" xr:uid="{A2944F3B-C58E-44EC-8637-37980F94E7AB}"/>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17003" xr:uid="{F602610B-66D4-4676-B321-55ECFEEEDB60}"/>
    <cellStyle name="Normal 4 4 4 2 5 2 3" xfId="12785" xr:uid="{3EB2E0EA-5770-420E-A91B-1AFEA86B15C8}"/>
    <cellStyle name="Normal 4 4 4 2 5 3" xfId="6419" xr:uid="{00000000-0005-0000-0000-0000C5150000}"/>
    <cellStyle name="Normal 4 4 4 2 5 3 2" xfId="14858" xr:uid="{FAD04520-ADBF-4DBC-A504-FE290F70DA84}"/>
    <cellStyle name="Normal 4 4 4 2 5 4" xfId="10640" xr:uid="{E4E1C7CE-C8C4-4462-855F-72669EF0B01E}"/>
    <cellStyle name="Normal 4 4 4 2 6" xfId="2548" xr:uid="{00000000-0005-0000-0000-0000C6150000}"/>
    <cellStyle name="Normal 4 4 4 2 6 2" xfId="6832" xr:uid="{00000000-0005-0000-0000-0000C7150000}"/>
    <cellStyle name="Normal 4 4 4 2 6 2 2" xfId="15271" xr:uid="{92A0A9F7-8356-40B2-ACB1-33CD3711957F}"/>
    <cellStyle name="Normal 4 4 4 2 6 3" xfId="11053" xr:uid="{1E5FD5DF-F904-4D42-A0B1-F7B4F9F4B705}"/>
    <cellStyle name="Normal 4 4 4 2 7" xfId="4767" xr:uid="{00000000-0005-0000-0000-0000C8150000}"/>
    <cellStyle name="Normal 4 4 4 2 7 2" xfId="13206" xr:uid="{3480CFD3-F815-4960-BA01-BC7058EB4EB0}"/>
    <cellStyle name="Normal 4 4 4 2 8" xfId="8988" xr:uid="{C3013665-0319-4D16-86DA-748935FD6F25}"/>
    <cellStyle name="Normal 4 4 4 3" xfId="866" xr:uid="{00000000-0005-0000-0000-0000C9150000}"/>
    <cellStyle name="Normal 4 4 4 3 2" xfId="3101" xr:uid="{00000000-0005-0000-0000-0000CA150000}"/>
    <cellStyle name="Normal 4 4 4 3 2 2" xfId="7324" xr:uid="{00000000-0005-0000-0000-0000CB150000}"/>
    <cellStyle name="Normal 4 4 4 3 2 2 2" xfId="15763" xr:uid="{4A964E56-8CFE-4C39-9486-F427830D0ADA}"/>
    <cellStyle name="Normal 4 4 4 3 2 3" xfId="11545" xr:uid="{095C1238-5B33-4EDA-A0BC-D1DE4E201025}"/>
    <cellStyle name="Normal 4 4 4 3 3" xfId="5179" xr:uid="{00000000-0005-0000-0000-0000CC150000}"/>
    <cellStyle name="Normal 4 4 4 3 3 2" xfId="13618" xr:uid="{C187203F-B4DB-4B7A-AE86-5256F555E5AD}"/>
    <cellStyle name="Normal 4 4 4 3 4" xfId="9400" xr:uid="{3E63876D-A757-48BA-B2A6-2B9477FFD37A}"/>
    <cellStyle name="Normal 4 4 4 4" xfId="1284" xr:uid="{00000000-0005-0000-0000-0000CD150000}"/>
    <cellStyle name="Normal 4 4 4 4 2" xfId="3514" xr:uid="{00000000-0005-0000-0000-0000CE150000}"/>
    <cellStyle name="Normal 4 4 4 4 2 2" xfId="7737" xr:uid="{00000000-0005-0000-0000-0000CF150000}"/>
    <cellStyle name="Normal 4 4 4 4 2 2 2" xfId="16176" xr:uid="{ED9A5C8A-22C8-4195-9FC4-B60617014063}"/>
    <cellStyle name="Normal 4 4 4 4 2 3" xfId="11958" xr:uid="{B425B53C-F26D-42B1-89F5-D5D22D339633}"/>
    <cellStyle name="Normal 4 4 4 4 3" xfId="5592" xr:uid="{00000000-0005-0000-0000-0000D0150000}"/>
    <cellStyle name="Normal 4 4 4 4 3 2" xfId="14031" xr:uid="{00A36B74-6C97-48E6-B666-F1A092D5DBFD}"/>
    <cellStyle name="Normal 4 4 4 4 4" xfId="9813" xr:uid="{87E08894-33F0-4429-B2B6-1D5272D0DF5A}"/>
    <cellStyle name="Normal 4 4 4 5" xfId="1697" xr:uid="{00000000-0005-0000-0000-0000D1150000}"/>
    <cellStyle name="Normal 4 4 4 5 2" xfId="3927" xr:uid="{00000000-0005-0000-0000-0000D2150000}"/>
    <cellStyle name="Normal 4 4 4 5 2 2" xfId="8150" xr:uid="{00000000-0005-0000-0000-0000D3150000}"/>
    <cellStyle name="Normal 4 4 4 5 2 2 2" xfId="16589" xr:uid="{B9C93E0B-3318-4C12-A367-237A4879F5FA}"/>
    <cellStyle name="Normal 4 4 4 5 2 3" xfId="12371" xr:uid="{1236120A-3BF2-4C4C-A118-C1AC30C58E76}"/>
    <cellStyle name="Normal 4 4 4 5 3" xfId="6005" xr:uid="{00000000-0005-0000-0000-0000D4150000}"/>
    <cellStyle name="Normal 4 4 4 5 3 2" xfId="14444" xr:uid="{231C1E4F-03AA-4784-8783-2ED613C1F473}"/>
    <cellStyle name="Normal 4 4 4 5 4" xfId="10226" xr:uid="{B801A85B-3346-46EF-9534-9FBAFF3BB1A7}"/>
    <cellStyle name="Normal 4 4 4 6" xfId="2111" xr:uid="{00000000-0005-0000-0000-0000D5150000}"/>
    <cellStyle name="Normal 4 4 4 6 2" xfId="4340" xr:uid="{00000000-0005-0000-0000-0000D6150000}"/>
    <cellStyle name="Normal 4 4 4 6 2 2" xfId="8563" xr:uid="{00000000-0005-0000-0000-0000D7150000}"/>
    <cellStyle name="Normal 4 4 4 6 2 2 2" xfId="17002" xr:uid="{D34DE292-87CB-4043-BEC1-7F910F4A91C9}"/>
    <cellStyle name="Normal 4 4 4 6 2 3" xfId="12784" xr:uid="{3F875D42-90B1-44D1-9153-F7928173C3A0}"/>
    <cellStyle name="Normal 4 4 4 6 3" xfId="6418" xr:uid="{00000000-0005-0000-0000-0000D8150000}"/>
    <cellStyle name="Normal 4 4 4 6 3 2" xfId="14857" xr:uid="{53FEDA91-3E1B-462E-BF14-0F8A591FFF4C}"/>
    <cellStyle name="Normal 4 4 4 6 4" xfId="10639" xr:uid="{C2860D52-DA8D-4468-A330-28D4DDED33DD}"/>
    <cellStyle name="Normal 4 4 4 7" xfId="2547" xr:uid="{00000000-0005-0000-0000-0000D9150000}"/>
    <cellStyle name="Normal 4 4 4 7 2" xfId="6831" xr:uid="{00000000-0005-0000-0000-0000DA150000}"/>
    <cellStyle name="Normal 4 4 4 7 2 2" xfId="15270" xr:uid="{1AA9C97F-4687-401F-83D3-207B9B5DBF54}"/>
    <cellStyle name="Normal 4 4 4 7 3" xfId="11052" xr:uid="{261ABDC1-E519-4F4F-B24A-75F4B2D01F6D}"/>
    <cellStyle name="Normal 4 4 4 8" xfId="4766" xr:uid="{00000000-0005-0000-0000-0000DB150000}"/>
    <cellStyle name="Normal 4 4 4 8 2" xfId="13205" xr:uid="{DFA79E04-A818-43BA-953C-D671F4E8217E}"/>
    <cellStyle name="Normal 4 4 4 9" xfId="8987" xr:uid="{F551C375-D0FF-4079-A581-59B439D45C07}"/>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15765" xr:uid="{FC9E430E-E726-42E0-BD5D-6ADA9AA8CA46}"/>
    <cellStyle name="Normal 4 4 5 2 2 3" xfId="11547" xr:uid="{8BFE2075-35B5-4B00-B1E5-A60067F414B5}"/>
    <cellStyle name="Normal 4 4 5 2 3" xfId="5181" xr:uid="{00000000-0005-0000-0000-0000E0150000}"/>
    <cellStyle name="Normal 4 4 5 2 3 2" xfId="13620" xr:uid="{691B73CB-038B-4A6E-BC80-877DBF3779E4}"/>
    <cellStyle name="Normal 4 4 5 2 4" xfId="9402" xr:uid="{A5F153A9-00F9-40AF-A1CD-1E21481D29B8}"/>
    <cellStyle name="Normal 4 4 5 3" xfId="1286" xr:uid="{00000000-0005-0000-0000-0000E1150000}"/>
    <cellStyle name="Normal 4 4 5 3 2" xfId="3516" xr:uid="{00000000-0005-0000-0000-0000E2150000}"/>
    <cellStyle name="Normal 4 4 5 3 2 2" xfId="7739" xr:uid="{00000000-0005-0000-0000-0000E3150000}"/>
    <cellStyle name="Normal 4 4 5 3 2 2 2" xfId="16178" xr:uid="{EC7F0C02-2F29-4CEC-A725-A40805795DB2}"/>
    <cellStyle name="Normal 4 4 5 3 2 3" xfId="11960" xr:uid="{EE3408B6-5759-4241-AD92-245B4752ECAC}"/>
    <cellStyle name="Normal 4 4 5 3 3" xfId="5594" xr:uid="{00000000-0005-0000-0000-0000E4150000}"/>
    <cellStyle name="Normal 4 4 5 3 3 2" xfId="14033" xr:uid="{CF9F6E33-F578-4297-A85D-D450FB9B20DB}"/>
    <cellStyle name="Normal 4 4 5 3 4" xfId="9815" xr:uid="{02D18306-178B-4FEB-B40C-34013F4AEFF3}"/>
    <cellStyle name="Normal 4 4 5 4" xfId="1699" xr:uid="{00000000-0005-0000-0000-0000E5150000}"/>
    <cellStyle name="Normal 4 4 5 4 2" xfId="3929" xr:uid="{00000000-0005-0000-0000-0000E6150000}"/>
    <cellStyle name="Normal 4 4 5 4 2 2" xfId="8152" xr:uid="{00000000-0005-0000-0000-0000E7150000}"/>
    <cellStyle name="Normal 4 4 5 4 2 2 2" xfId="16591" xr:uid="{2AC16AD8-4D2A-4D8F-9B15-8EF04EE8B5ED}"/>
    <cellStyle name="Normal 4 4 5 4 2 3" xfId="12373" xr:uid="{478DB3E0-2B37-4627-AAB6-68ABE3D20547}"/>
    <cellStyle name="Normal 4 4 5 4 3" xfId="6007" xr:uid="{00000000-0005-0000-0000-0000E8150000}"/>
    <cellStyle name="Normal 4 4 5 4 3 2" xfId="14446" xr:uid="{9F419923-338B-4BC3-B752-86F82CB26FD2}"/>
    <cellStyle name="Normal 4 4 5 4 4" xfId="10228" xr:uid="{E4E6DDAD-8606-4DF9-BC44-36E7C7739C0F}"/>
    <cellStyle name="Normal 4 4 5 5" xfId="2113" xr:uid="{00000000-0005-0000-0000-0000E9150000}"/>
    <cellStyle name="Normal 4 4 5 5 2" xfId="4342" xr:uid="{00000000-0005-0000-0000-0000EA150000}"/>
    <cellStyle name="Normal 4 4 5 5 2 2" xfId="8565" xr:uid="{00000000-0005-0000-0000-0000EB150000}"/>
    <cellStyle name="Normal 4 4 5 5 2 2 2" xfId="17004" xr:uid="{FCFEBBCD-B96C-4F8C-9B16-CD8103DBEA05}"/>
    <cellStyle name="Normal 4 4 5 5 2 3" xfId="12786" xr:uid="{953F82C3-2E10-4EF1-AB31-16A1CAE1F6FB}"/>
    <cellStyle name="Normal 4 4 5 5 3" xfId="6420" xr:uid="{00000000-0005-0000-0000-0000EC150000}"/>
    <cellStyle name="Normal 4 4 5 5 3 2" xfId="14859" xr:uid="{85CC4F0D-8B55-4C6A-B709-2506AB134ED0}"/>
    <cellStyle name="Normal 4 4 5 5 4" xfId="10641" xr:uid="{CD797AA2-E6E5-4C16-A49C-CC652E29E07D}"/>
    <cellStyle name="Normal 4 4 5 6" xfId="2549" xr:uid="{00000000-0005-0000-0000-0000ED150000}"/>
    <cellStyle name="Normal 4 4 5 6 2" xfId="6833" xr:uid="{00000000-0005-0000-0000-0000EE150000}"/>
    <cellStyle name="Normal 4 4 5 6 2 2" xfId="15272" xr:uid="{6A0F5DC2-C5BD-442C-94A7-363E94588245}"/>
    <cellStyle name="Normal 4 4 5 6 3" xfId="11054" xr:uid="{EDD998B1-93C5-47A5-B03F-77E21E2B655C}"/>
    <cellStyle name="Normal 4 4 5 7" xfId="4768" xr:uid="{00000000-0005-0000-0000-0000EF150000}"/>
    <cellStyle name="Normal 4 4 5 7 2" xfId="13207" xr:uid="{C8AC2D94-4CCA-4943-B0A2-D504D31FDB51}"/>
    <cellStyle name="Normal 4 4 5 8" xfId="8989" xr:uid="{8BF4E254-5B0C-4449-BEB3-DDC202DC142A}"/>
    <cellStyle name="Normal 4 4 6" xfId="853" xr:uid="{00000000-0005-0000-0000-0000F0150000}"/>
    <cellStyle name="Normal 4 4 6 2" xfId="3088" xr:uid="{00000000-0005-0000-0000-0000F1150000}"/>
    <cellStyle name="Normal 4 4 6 2 2" xfId="7311" xr:uid="{00000000-0005-0000-0000-0000F2150000}"/>
    <cellStyle name="Normal 4 4 6 2 2 2" xfId="15750" xr:uid="{C110F0C5-AC80-40DA-9E4C-04BB1D0E7A60}"/>
    <cellStyle name="Normal 4 4 6 2 3" xfId="11532" xr:uid="{F77D6F0B-1383-4B27-9D47-59F2AFEC81F9}"/>
    <cellStyle name="Normal 4 4 6 3" xfId="5166" xr:uid="{00000000-0005-0000-0000-0000F3150000}"/>
    <cellStyle name="Normal 4 4 6 3 2" xfId="13605" xr:uid="{2F3BAE41-A926-4203-ABE4-30AE125CEC84}"/>
    <cellStyle name="Normal 4 4 6 4" xfId="9387" xr:uid="{8DA94AF5-02D8-471A-B353-17E4474382FE}"/>
    <cellStyle name="Normal 4 4 7" xfId="1271" xr:uid="{00000000-0005-0000-0000-0000F4150000}"/>
    <cellStyle name="Normal 4 4 7 2" xfId="3501" xr:uid="{00000000-0005-0000-0000-0000F5150000}"/>
    <cellStyle name="Normal 4 4 7 2 2" xfId="7724" xr:uid="{00000000-0005-0000-0000-0000F6150000}"/>
    <cellStyle name="Normal 4 4 7 2 2 2" xfId="16163" xr:uid="{3481305B-D3A2-4523-A7EC-D5EBF83B20BB}"/>
    <cellStyle name="Normal 4 4 7 2 3" xfId="11945" xr:uid="{44DCA2FC-CD06-48BA-AB8A-9628EB40D799}"/>
    <cellStyle name="Normal 4 4 7 3" xfId="5579" xr:uid="{00000000-0005-0000-0000-0000F7150000}"/>
    <cellStyle name="Normal 4 4 7 3 2" xfId="14018" xr:uid="{DEFC71C3-848C-436E-BC73-020EA418F32A}"/>
    <cellStyle name="Normal 4 4 7 4" xfId="9800" xr:uid="{42D40079-211B-4B82-8E51-ACBAA223F339}"/>
    <cellStyle name="Normal 4 4 8" xfId="1684" xr:uid="{00000000-0005-0000-0000-0000F8150000}"/>
    <cellStyle name="Normal 4 4 8 2" xfId="3914" xr:uid="{00000000-0005-0000-0000-0000F9150000}"/>
    <cellStyle name="Normal 4 4 8 2 2" xfId="8137" xr:uid="{00000000-0005-0000-0000-0000FA150000}"/>
    <cellStyle name="Normal 4 4 8 2 2 2" xfId="16576" xr:uid="{2643448E-16F8-40A0-90FC-08DA31067F09}"/>
    <cellStyle name="Normal 4 4 8 2 3" xfId="12358" xr:uid="{2856B1D5-8433-4013-958F-E57EA0FEFCF5}"/>
    <cellStyle name="Normal 4 4 8 3" xfId="5992" xr:uid="{00000000-0005-0000-0000-0000FB150000}"/>
    <cellStyle name="Normal 4 4 8 3 2" xfId="14431" xr:uid="{30564255-B307-4F77-86B8-F1A9ADC5BF72}"/>
    <cellStyle name="Normal 4 4 8 4" xfId="10213" xr:uid="{9C6E16C5-2D86-435C-AD15-3C63AD549762}"/>
    <cellStyle name="Normal 4 4 9" xfId="2098" xr:uid="{00000000-0005-0000-0000-0000FC150000}"/>
    <cellStyle name="Normal 4 4 9 2" xfId="4327" xr:uid="{00000000-0005-0000-0000-0000FD150000}"/>
    <cellStyle name="Normal 4 4 9 2 2" xfId="8550" xr:uid="{00000000-0005-0000-0000-0000FE150000}"/>
    <cellStyle name="Normal 4 4 9 2 2 2" xfId="16989" xr:uid="{D139392F-8585-4A39-9D98-28EA4F009EC1}"/>
    <cellStyle name="Normal 4 4 9 2 3" xfId="12771" xr:uid="{088F544B-CEBA-469A-BD5C-275205BB46B9}"/>
    <cellStyle name="Normal 4 4 9 3" xfId="6405" xr:uid="{00000000-0005-0000-0000-0000FF150000}"/>
    <cellStyle name="Normal 4 4 9 3 2" xfId="14844" xr:uid="{044D0AD2-9280-4EF6-BB01-98C669A9BEE5}"/>
    <cellStyle name="Normal 4 4 9 4" xfId="10626" xr:uid="{07443712-5B85-49BA-A997-61A880DF2B91}"/>
    <cellStyle name="Normal 4 5" xfId="394" xr:uid="{00000000-0005-0000-0000-000000160000}"/>
    <cellStyle name="Normal 4 6" xfId="395" xr:uid="{00000000-0005-0000-0000-000001160000}"/>
    <cellStyle name="Normal 4 6 10" xfId="4769" xr:uid="{00000000-0005-0000-0000-000002160000}"/>
    <cellStyle name="Normal 4 6 10 2" xfId="13208" xr:uid="{921CA168-6AFD-4A24-9817-1DE38492CAFE}"/>
    <cellStyle name="Normal 4 6 11" xfId="8990" xr:uid="{5955DB0C-158E-4099-BA60-9B1AAFEBC112}"/>
    <cellStyle name="Normal 4 6 2" xfId="396" xr:uid="{00000000-0005-0000-0000-000003160000}"/>
    <cellStyle name="Normal 4 6 2 10" xfId="8991" xr:uid="{253EC8CD-D008-4869-9FFB-4C2118468294}"/>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5769" xr:uid="{D0F90C29-7DE1-4920-8BD1-C340444A02AE}"/>
    <cellStyle name="Normal 4 6 2 2 2 2 2 3" xfId="11551" xr:uid="{E9EEEF31-23E1-4725-9F9F-98E952694E71}"/>
    <cellStyle name="Normal 4 6 2 2 2 2 3" xfId="5185" xr:uid="{00000000-0005-0000-0000-000009160000}"/>
    <cellStyle name="Normal 4 6 2 2 2 2 3 2" xfId="13624" xr:uid="{D30EFCC6-38B6-4B67-8665-2C4C7592402E}"/>
    <cellStyle name="Normal 4 6 2 2 2 2 4" xfId="9406" xr:uid="{2D80DEC0-42F4-432D-9D59-AA536C3779CA}"/>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16182" xr:uid="{3219B6F6-6A0D-4267-8342-BF00F85C6FB6}"/>
    <cellStyle name="Normal 4 6 2 2 2 3 2 3" xfId="11964" xr:uid="{52FED774-3FEC-412F-AA13-32C4A50466BC}"/>
    <cellStyle name="Normal 4 6 2 2 2 3 3" xfId="5598" xr:uid="{00000000-0005-0000-0000-00000D160000}"/>
    <cellStyle name="Normal 4 6 2 2 2 3 3 2" xfId="14037" xr:uid="{10475A04-E8D9-4EB9-B3D6-62B5D0B5CA23}"/>
    <cellStyle name="Normal 4 6 2 2 2 3 4" xfId="9819" xr:uid="{C30269DA-B959-4076-97DC-B766317495AB}"/>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16595" xr:uid="{7D605265-1CCE-4BDE-A56C-29C47E0CDF87}"/>
    <cellStyle name="Normal 4 6 2 2 2 4 2 3" xfId="12377" xr:uid="{E1D4769A-D434-4529-B95E-B3C0CBC83E92}"/>
    <cellStyle name="Normal 4 6 2 2 2 4 3" xfId="6011" xr:uid="{00000000-0005-0000-0000-000011160000}"/>
    <cellStyle name="Normal 4 6 2 2 2 4 3 2" xfId="14450" xr:uid="{C3D75DE9-7577-45C3-8351-217EE01D6BDC}"/>
    <cellStyle name="Normal 4 6 2 2 2 4 4" xfId="10232" xr:uid="{626B5138-3191-4124-8CB8-E1239EBABEE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17008" xr:uid="{168198C9-A905-4E57-8B75-9D7FD7B1683E}"/>
    <cellStyle name="Normal 4 6 2 2 2 5 2 3" xfId="12790" xr:uid="{E2951C17-9639-4C46-9D5B-8478BA33C551}"/>
    <cellStyle name="Normal 4 6 2 2 2 5 3" xfId="6424" xr:uid="{00000000-0005-0000-0000-000015160000}"/>
    <cellStyle name="Normal 4 6 2 2 2 5 3 2" xfId="14863" xr:uid="{FC81EB18-2321-4A67-8A03-EEA3C35B7522}"/>
    <cellStyle name="Normal 4 6 2 2 2 5 4" xfId="10645" xr:uid="{D5F743BD-70E3-4F6E-9BB5-E5071D12BADA}"/>
    <cellStyle name="Normal 4 6 2 2 2 6" xfId="2553" xr:uid="{00000000-0005-0000-0000-000016160000}"/>
    <cellStyle name="Normal 4 6 2 2 2 6 2" xfId="6837" xr:uid="{00000000-0005-0000-0000-000017160000}"/>
    <cellStyle name="Normal 4 6 2 2 2 6 2 2" xfId="15276" xr:uid="{9A359BE2-94F8-4F33-9A23-5EB1BA7F6507}"/>
    <cellStyle name="Normal 4 6 2 2 2 6 3" xfId="11058" xr:uid="{A463E428-9D82-407B-A135-B4FA18CDC132}"/>
    <cellStyle name="Normal 4 6 2 2 2 7" xfId="4772" xr:uid="{00000000-0005-0000-0000-000018160000}"/>
    <cellStyle name="Normal 4 6 2 2 2 7 2" xfId="13211" xr:uid="{20DE2993-61D0-45F0-BFEB-4C9BA89B2FA2}"/>
    <cellStyle name="Normal 4 6 2 2 2 8" xfId="8993" xr:uid="{C6617C54-5662-46E5-BDF3-B1501F414CE6}"/>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5768" xr:uid="{01A69187-F7E7-4F51-97D4-D58E72E56B03}"/>
    <cellStyle name="Normal 4 6 2 2 3 2 3" xfId="11550" xr:uid="{8A5A3A04-6984-496E-A87D-505AF7553FF7}"/>
    <cellStyle name="Normal 4 6 2 2 3 3" xfId="5184" xr:uid="{00000000-0005-0000-0000-00001C160000}"/>
    <cellStyle name="Normal 4 6 2 2 3 3 2" xfId="13623" xr:uid="{5782AF42-EE9A-4E1B-8CEC-64372158375F}"/>
    <cellStyle name="Normal 4 6 2 2 3 4" xfId="9405" xr:uid="{2F33B392-2AA2-457B-957E-A02BA4F78AC7}"/>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16181" xr:uid="{D5297F5F-CF5D-4BB4-9BA5-C0B9AD31582A}"/>
    <cellStyle name="Normal 4 6 2 2 4 2 3" xfId="11963" xr:uid="{6E3BBB5C-FFBE-4F4F-9698-801EC6E33A45}"/>
    <cellStyle name="Normal 4 6 2 2 4 3" xfId="5597" xr:uid="{00000000-0005-0000-0000-000020160000}"/>
    <cellStyle name="Normal 4 6 2 2 4 3 2" xfId="14036" xr:uid="{DE6442D4-3067-4705-A2DE-277246BE9B48}"/>
    <cellStyle name="Normal 4 6 2 2 4 4" xfId="9818" xr:uid="{2EEA7E47-8FBA-40D0-8215-133E80E3B543}"/>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16594" xr:uid="{65FCFB93-4670-470F-B9CA-ADE3215F083F}"/>
    <cellStyle name="Normal 4 6 2 2 5 2 3" xfId="12376" xr:uid="{105B2096-84D5-4A9D-8465-CF77341E1B8A}"/>
    <cellStyle name="Normal 4 6 2 2 5 3" xfId="6010" xr:uid="{00000000-0005-0000-0000-000024160000}"/>
    <cellStyle name="Normal 4 6 2 2 5 3 2" xfId="14449" xr:uid="{0CB28A8A-17EB-4B15-B4EB-B1D814309AEB}"/>
    <cellStyle name="Normal 4 6 2 2 5 4" xfId="10231" xr:uid="{063C01EA-DD87-422C-814F-90BA64862439}"/>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17007" xr:uid="{58F8A814-D1B3-48A4-BECB-DD154AC6BE0A}"/>
    <cellStyle name="Normal 4 6 2 2 6 2 3" xfId="12789" xr:uid="{95936AC2-85B0-46EE-904E-78CECF0C0469}"/>
    <cellStyle name="Normal 4 6 2 2 6 3" xfId="6423" xr:uid="{00000000-0005-0000-0000-000028160000}"/>
    <cellStyle name="Normal 4 6 2 2 6 3 2" xfId="14862" xr:uid="{6470C836-343C-4A1F-9C47-17E2F533AC26}"/>
    <cellStyle name="Normal 4 6 2 2 6 4" xfId="10644" xr:uid="{58E22E92-96F3-49E6-8D53-440EE91AA5CA}"/>
    <cellStyle name="Normal 4 6 2 2 7" xfId="2552" xr:uid="{00000000-0005-0000-0000-000029160000}"/>
    <cellStyle name="Normal 4 6 2 2 7 2" xfId="6836" xr:uid="{00000000-0005-0000-0000-00002A160000}"/>
    <cellStyle name="Normal 4 6 2 2 7 2 2" xfId="15275" xr:uid="{89F98A84-617D-425E-A40A-0B638954BDBA}"/>
    <cellStyle name="Normal 4 6 2 2 7 3" xfId="11057" xr:uid="{1BEA2C36-551C-46DA-B488-F7462F8815D7}"/>
    <cellStyle name="Normal 4 6 2 2 8" xfId="4771" xr:uid="{00000000-0005-0000-0000-00002B160000}"/>
    <cellStyle name="Normal 4 6 2 2 8 2" xfId="13210" xr:uid="{0403C935-8829-4007-98C5-C06D0D9D648A}"/>
    <cellStyle name="Normal 4 6 2 2 9" xfId="8992" xr:uid="{03335F00-D423-4C0E-B33B-D5CE78F2D6B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5770" xr:uid="{72E85C2C-B8F1-43F9-A43B-71AAD3191AC2}"/>
    <cellStyle name="Normal 4 6 2 3 2 2 3" xfId="11552" xr:uid="{20C433C9-F3A8-4412-B250-26087783F4DD}"/>
    <cellStyle name="Normal 4 6 2 3 2 3" xfId="5186" xr:uid="{00000000-0005-0000-0000-000030160000}"/>
    <cellStyle name="Normal 4 6 2 3 2 3 2" xfId="13625" xr:uid="{42D06057-4464-40C7-8B65-2D9B0D2C962A}"/>
    <cellStyle name="Normal 4 6 2 3 2 4" xfId="9407" xr:uid="{3DD24933-1BE6-4F42-A7EF-4835BCDC17E1}"/>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16183" xr:uid="{A1F21DC4-C231-49EC-A596-8FAB6F879D08}"/>
    <cellStyle name="Normal 4 6 2 3 3 2 3" xfId="11965" xr:uid="{E2E657C3-9577-410B-A935-2A8F8ED702F7}"/>
    <cellStyle name="Normal 4 6 2 3 3 3" xfId="5599" xr:uid="{00000000-0005-0000-0000-000034160000}"/>
    <cellStyle name="Normal 4 6 2 3 3 3 2" xfId="14038" xr:uid="{4D7CB811-87C6-4207-AD2F-19AF6319862B}"/>
    <cellStyle name="Normal 4 6 2 3 3 4" xfId="9820" xr:uid="{44D83120-63EA-43E8-BE12-65FA51391074}"/>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16596" xr:uid="{B3A7E2AB-FDFA-4148-B2D3-40B0D5F2DEFF}"/>
    <cellStyle name="Normal 4 6 2 3 4 2 3" xfId="12378" xr:uid="{757FE0A5-E8D8-42EF-84A2-8834FC75050A}"/>
    <cellStyle name="Normal 4 6 2 3 4 3" xfId="6012" xr:uid="{00000000-0005-0000-0000-000038160000}"/>
    <cellStyle name="Normal 4 6 2 3 4 3 2" xfId="14451" xr:uid="{2DE6B8C7-12A3-4D10-9903-BF6D6EEF0E0C}"/>
    <cellStyle name="Normal 4 6 2 3 4 4" xfId="10233" xr:uid="{301A9563-55DE-4364-8B13-485CD2BA3CBB}"/>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17009" xr:uid="{15297957-D5BC-4AA9-9DFF-116B094E01D7}"/>
    <cellStyle name="Normal 4 6 2 3 5 2 3" xfId="12791" xr:uid="{B8762811-CE6E-4B90-922B-491F91FD0161}"/>
    <cellStyle name="Normal 4 6 2 3 5 3" xfId="6425" xr:uid="{00000000-0005-0000-0000-00003C160000}"/>
    <cellStyle name="Normal 4 6 2 3 5 3 2" xfId="14864" xr:uid="{7614F88F-9076-41A9-A6F2-5B455A21104C}"/>
    <cellStyle name="Normal 4 6 2 3 5 4" xfId="10646" xr:uid="{D9D8CA74-37FB-4727-87B9-D6E69473C2E3}"/>
    <cellStyle name="Normal 4 6 2 3 6" xfId="2554" xr:uid="{00000000-0005-0000-0000-00003D160000}"/>
    <cellStyle name="Normal 4 6 2 3 6 2" xfId="6838" xr:uid="{00000000-0005-0000-0000-00003E160000}"/>
    <cellStyle name="Normal 4 6 2 3 6 2 2" xfId="15277" xr:uid="{6768E0A4-4357-471D-A620-2400B1A3AB4E}"/>
    <cellStyle name="Normal 4 6 2 3 6 3" xfId="11059" xr:uid="{6AF50D05-117B-470E-A121-0AD5603687B2}"/>
    <cellStyle name="Normal 4 6 2 3 7" xfId="4773" xr:uid="{00000000-0005-0000-0000-00003F160000}"/>
    <cellStyle name="Normal 4 6 2 3 7 2" xfId="13212" xr:uid="{97F4DE33-517D-42C6-888F-A96566CAD652}"/>
    <cellStyle name="Normal 4 6 2 3 8" xfId="8994" xr:uid="{35449807-C48E-4FEF-9E7D-22CE3C03BACA}"/>
    <cellStyle name="Normal 4 6 2 4" xfId="870" xr:uid="{00000000-0005-0000-0000-000040160000}"/>
    <cellStyle name="Normal 4 6 2 4 2" xfId="3105" xr:uid="{00000000-0005-0000-0000-000041160000}"/>
    <cellStyle name="Normal 4 6 2 4 2 2" xfId="7328" xr:uid="{00000000-0005-0000-0000-000042160000}"/>
    <cellStyle name="Normal 4 6 2 4 2 2 2" xfId="15767" xr:uid="{FA870E52-6A30-4218-9F67-0ACF662B5485}"/>
    <cellStyle name="Normal 4 6 2 4 2 3" xfId="11549" xr:uid="{2136BC28-3A8F-4541-8A48-D6DE8B7EB7E0}"/>
    <cellStyle name="Normal 4 6 2 4 3" xfId="5183" xr:uid="{00000000-0005-0000-0000-000043160000}"/>
    <cellStyle name="Normal 4 6 2 4 3 2" xfId="13622" xr:uid="{0FBD0C6D-6B74-4840-92C5-A86C11054E81}"/>
    <cellStyle name="Normal 4 6 2 4 4" xfId="9404" xr:uid="{9A61517F-EB45-436E-B4CC-08AB90EF3A0F}"/>
    <cellStyle name="Normal 4 6 2 5" xfId="1288" xr:uid="{00000000-0005-0000-0000-000044160000}"/>
    <cellStyle name="Normal 4 6 2 5 2" xfId="3518" xr:uid="{00000000-0005-0000-0000-000045160000}"/>
    <cellStyle name="Normal 4 6 2 5 2 2" xfId="7741" xr:uid="{00000000-0005-0000-0000-000046160000}"/>
    <cellStyle name="Normal 4 6 2 5 2 2 2" xfId="16180" xr:uid="{98792169-75C6-4353-95AD-4AAE8ABEEFE4}"/>
    <cellStyle name="Normal 4 6 2 5 2 3" xfId="11962" xr:uid="{98B0DA96-1B9A-4030-B87B-FDF5180962C5}"/>
    <cellStyle name="Normal 4 6 2 5 3" xfId="5596" xr:uid="{00000000-0005-0000-0000-000047160000}"/>
    <cellStyle name="Normal 4 6 2 5 3 2" xfId="14035" xr:uid="{2CF6449B-63E6-4829-BD25-E41C28514B88}"/>
    <cellStyle name="Normal 4 6 2 5 4" xfId="9817" xr:uid="{D4DF0EB1-00D9-4025-9160-D715EB03C6EC}"/>
    <cellStyle name="Normal 4 6 2 6" xfId="1701" xr:uid="{00000000-0005-0000-0000-000048160000}"/>
    <cellStyle name="Normal 4 6 2 6 2" xfId="3931" xr:uid="{00000000-0005-0000-0000-000049160000}"/>
    <cellStyle name="Normal 4 6 2 6 2 2" xfId="8154" xr:uid="{00000000-0005-0000-0000-00004A160000}"/>
    <cellStyle name="Normal 4 6 2 6 2 2 2" xfId="16593" xr:uid="{B75F3DDD-1C66-4249-A512-ECB901D202FB}"/>
    <cellStyle name="Normal 4 6 2 6 2 3" xfId="12375" xr:uid="{78AF874A-8F63-4E2D-8CE6-2258AA1D286D}"/>
    <cellStyle name="Normal 4 6 2 6 3" xfId="6009" xr:uid="{00000000-0005-0000-0000-00004B160000}"/>
    <cellStyle name="Normal 4 6 2 6 3 2" xfId="14448" xr:uid="{751BF3E0-D2A8-4857-B82A-7D355DD86CBB}"/>
    <cellStyle name="Normal 4 6 2 6 4" xfId="10230" xr:uid="{969599BC-5267-4D7E-81AA-E3461F646EED}"/>
    <cellStyle name="Normal 4 6 2 7" xfId="2115" xr:uid="{00000000-0005-0000-0000-00004C160000}"/>
    <cellStyle name="Normal 4 6 2 7 2" xfId="4344" xr:uid="{00000000-0005-0000-0000-00004D160000}"/>
    <cellStyle name="Normal 4 6 2 7 2 2" xfId="8567" xr:uid="{00000000-0005-0000-0000-00004E160000}"/>
    <cellStyle name="Normal 4 6 2 7 2 2 2" xfId="17006" xr:uid="{11A06F10-6AE0-4E17-B261-818497C7E9C0}"/>
    <cellStyle name="Normal 4 6 2 7 2 3" xfId="12788" xr:uid="{7FD40721-99B1-4DA6-A9AE-3884E2C851E7}"/>
    <cellStyle name="Normal 4 6 2 7 3" xfId="6422" xr:uid="{00000000-0005-0000-0000-00004F160000}"/>
    <cellStyle name="Normal 4 6 2 7 3 2" xfId="14861" xr:uid="{B70A1624-37E8-4AA6-91DA-268217D6D297}"/>
    <cellStyle name="Normal 4 6 2 7 4" xfId="10643" xr:uid="{BDEF7C1A-43E5-4AF2-A0CD-3A668AB538FC}"/>
    <cellStyle name="Normal 4 6 2 8" xfId="2551" xr:uid="{00000000-0005-0000-0000-000050160000}"/>
    <cellStyle name="Normal 4 6 2 8 2" xfId="6835" xr:uid="{00000000-0005-0000-0000-000051160000}"/>
    <cellStyle name="Normal 4 6 2 8 2 2" xfId="15274" xr:uid="{F04CCB8E-20A6-4ADF-A276-C5C6CDE36447}"/>
    <cellStyle name="Normal 4 6 2 8 3" xfId="11056" xr:uid="{B348BC5F-E61C-469B-8F45-22405C1DDDA5}"/>
    <cellStyle name="Normal 4 6 2 9" xfId="4770" xr:uid="{00000000-0005-0000-0000-000052160000}"/>
    <cellStyle name="Normal 4 6 2 9 2" xfId="13209" xr:uid="{5848C820-F80D-4B94-9989-146C3A6449FF}"/>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5772" xr:uid="{CDACAFFB-E2AF-42E7-BCF6-0C2AFD0BB190}"/>
    <cellStyle name="Normal 4 6 3 2 2 2 3" xfId="11554" xr:uid="{03A51E77-64FC-4CA9-8D34-706B0968BF27}"/>
    <cellStyle name="Normal 4 6 3 2 2 3" xfId="5188" xr:uid="{00000000-0005-0000-0000-000058160000}"/>
    <cellStyle name="Normal 4 6 3 2 2 3 2" xfId="13627" xr:uid="{088D3AE7-B927-4DE7-93BA-2D05AA9406E5}"/>
    <cellStyle name="Normal 4 6 3 2 2 4" xfId="9409" xr:uid="{F0E83477-262F-4C62-AB3E-98CF8B394246}"/>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16185" xr:uid="{B02420FF-0E48-4AB6-9207-80DD307AC41C}"/>
    <cellStyle name="Normal 4 6 3 2 3 2 3" xfId="11967" xr:uid="{0ACD384D-BEE5-42FC-A37C-3EBC99AFE4FF}"/>
    <cellStyle name="Normal 4 6 3 2 3 3" xfId="5601" xr:uid="{00000000-0005-0000-0000-00005C160000}"/>
    <cellStyle name="Normal 4 6 3 2 3 3 2" xfId="14040" xr:uid="{E635EE44-9AB0-43A6-A5FD-5FE613398F61}"/>
    <cellStyle name="Normal 4 6 3 2 3 4" xfId="9822" xr:uid="{157CE038-6F4C-42C8-8088-E3C21AC0F9AC}"/>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16598" xr:uid="{0B44B723-3471-4CFC-9FB1-C13201F87FBB}"/>
    <cellStyle name="Normal 4 6 3 2 4 2 3" xfId="12380" xr:uid="{366A5A1D-6B3E-4D1D-B3D4-1294CE1298CE}"/>
    <cellStyle name="Normal 4 6 3 2 4 3" xfId="6014" xr:uid="{00000000-0005-0000-0000-000060160000}"/>
    <cellStyle name="Normal 4 6 3 2 4 3 2" xfId="14453" xr:uid="{E9B4EC40-6614-4003-9F90-D633CBDA0B9B}"/>
    <cellStyle name="Normal 4 6 3 2 4 4" xfId="10235" xr:uid="{87301DBB-D21C-4AB0-9417-18DDFC9E6E72}"/>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17011" xr:uid="{AA487DC6-EC72-4FBF-8FD1-BA7D62F769F9}"/>
    <cellStyle name="Normal 4 6 3 2 5 2 3" xfId="12793" xr:uid="{3F9383F4-0DF0-4ECA-8711-AB1B6B9AA20C}"/>
    <cellStyle name="Normal 4 6 3 2 5 3" xfId="6427" xr:uid="{00000000-0005-0000-0000-000064160000}"/>
    <cellStyle name="Normal 4 6 3 2 5 3 2" xfId="14866" xr:uid="{C5ACA6B9-0DC4-404E-9605-47D031E75B91}"/>
    <cellStyle name="Normal 4 6 3 2 5 4" xfId="10648" xr:uid="{6C8BA380-E1D7-41A3-AD35-6C0AA3628BE4}"/>
    <cellStyle name="Normal 4 6 3 2 6" xfId="2556" xr:uid="{00000000-0005-0000-0000-000065160000}"/>
    <cellStyle name="Normal 4 6 3 2 6 2" xfId="6840" xr:uid="{00000000-0005-0000-0000-000066160000}"/>
    <cellStyle name="Normal 4 6 3 2 6 2 2" xfId="15279" xr:uid="{67572376-1267-4EF0-BAD4-8D8076112BB0}"/>
    <cellStyle name="Normal 4 6 3 2 6 3" xfId="11061" xr:uid="{6B588BDE-F3BD-4EBD-9F88-73209174A659}"/>
    <cellStyle name="Normal 4 6 3 2 7" xfId="4775" xr:uid="{00000000-0005-0000-0000-000067160000}"/>
    <cellStyle name="Normal 4 6 3 2 7 2" xfId="13214" xr:uid="{9FEE8301-6D98-4CAD-AEC0-B2C189292D47}"/>
    <cellStyle name="Normal 4 6 3 2 8" xfId="8996" xr:uid="{75975FD0-E438-4F02-A329-E909FE2A4299}"/>
    <cellStyle name="Normal 4 6 3 3" xfId="874" xr:uid="{00000000-0005-0000-0000-000068160000}"/>
    <cellStyle name="Normal 4 6 3 3 2" xfId="3109" xr:uid="{00000000-0005-0000-0000-000069160000}"/>
    <cellStyle name="Normal 4 6 3 3 2 2" xfId="7332" xr:uid="{00000000-0005-0000-0000-00006A160000}"/>
    <cellStyle name="Normal 4 6 3 3 2 2 2" xfId="15771" xr:uid="{CC298927-A625-479C-BFFD-23AAE313060B}"/>
    <cellStyle name="Normal 4 6 3 3 2 3" xfId="11553" xr:uid="{A5F4DB90-B475-419A-801E-E93792C5DF48}"/>
    <cellStyle name="Normal 4 6 3 3 3" xfId="5187" xr:uid="{00000000-0005-0000-0000-00006B160000}"/>
    <cellStyle name="Normal 4 6 3 3 3 2" xfId="13626" xr:uid="{C09CF167-48D1-476B-B0BF-9D1FE5F8DD1B}"/>
    <cellStyle name="Normal 4 6 3 3 4" xfId="9408" xr:uid="{9D6B29A7-E675-4117-AC0F-740FAD27A5C6}"/>
    <cellStyle name="Normal 4 6 3 4" xfId="1292" xr:uid="{00000000-0005-0000-0000-00006C160000}"/>
    <cellStyle name="Normal 4 6 3 4 2" xfId="3522" xr:uid="{00000000-0005-0000-0000-00006D160000}"/>
    <cellStyle name="Normal 4 6 3 4 2 2" xfId="7745" xr:uid="{00000000-0005-0000-0000-00006E160000}"/>
    <cellStyle name="Normal 4 6 3 4 2 2 2" xfId="16184" xr:uid="{6868F934-72DF-435E-BDB6-0847FEDB9343}"/>
    <cellStyle name="Normal 4 6 3 4 2 3" xfId="11966" xr:uid="{783D24E8-3754-4839-B924-FD149371FA01}"/>
    <cellStyle name="Normal 4 6 3 4 3" xfId="5600" xr:uid="{00000000-0005-0000-0000-00006F160000}"/>
    <cellStyle name="Normal 4 6 3 4 3 2" xfId="14039" xr:uid="{460D5568-AE0F-4D41-9867-C26B9AA7A970}"/>
    <cellStyle name="Normal 4 6 3 4 4" xfId="9821" xr:uid="{4184E15F-2EAD-4FE8-833D-9EE5E72F6332}"/>
    <cellStyle name="Normal 4 6 3 5" xfId="1705" xr:uid="{00000000-0005-0000-0000-000070160000}"/>
    <cellStyle name="Normal 4 6 3 5 2" xfId="3935" xr:uid="{00000000-0005-0000-0000-000071160000}"/>
    <cellStyle name="Normal 4 6 3 5 2 2" xfId="8158" xr:uid="{00000000-0005-0000-0000-000072160000}"/>
    <cellStyle name="Normal 4 6 3 5 2 2 2" xfId="16597" xr:uid="{0F7994AF-A6C9-4B11-BB90-4B3C3225FCD5}"/>
    <cellStyle name="Normal 4 6 3 5 2 3" xfId="12379" xr:uid="{E3EF9D10-40D3-42DC-8D46-D3D95A0D4937}"/>
    <cellStyle name="Normal 4 6 3 5 3" xfId="6013" xr:uid="{00000000-0005-0000-0000-000073160000}"/>
    <cellStyle name="Normal 4 6 3 5 3 2" xfId="14452" xr:uid="{E348E4DF-C143-4436-A507-EAD3B6AA2E95}"/>
    <cellStyle name="Normal 4 6 3 5 4" xfId="10234" xr:uid="{29C558D5-2AD8-4209-87B3-91967F53D62B}"/>
    <cellStyle name="Normal 4 6 3 6" xfId="2119" xr:uid="{00000000-0005-0000-0000-000074160000}"/>
    <cellStyle name="Normal 4 6 3 6 2" xfId="4348" xr:uid="{00000000-0005-0000-0000-000075160000}"/>
    <cellStyle name="Normal 4 6 3 6 2 2" xfId="8571" xr:uid="{00000000-0005-0000-0000-000076160000}"/>
    <cellStyle name="Normal 4 6 3 6 2 2 2" xfId="17010" xr:uid="{08C4E828-C7AD-4F43-9B86-1188CDD7FCCA}"/>
    <cellStyle name="Normal 4 6 3 6 2 3" xfId="12792" xr:uid="{98793381-6BDC-477D-B3DF-3123DFDAAD3B}"/>
    <cellStyle name="Normal 4 6 3 6 3" xfId="6426" xr:uid="{00000000-0005-0000-0000-000077160000}"/>
    <cellStyle name="Normal 4 6 3 6 3 2" xfId="14865" xr:uid="{9D218FE8-8CE6-498E-AB1D-E9FEB56896D4}"/>
    <cellStyle name="Normal 4 6 3 6 4" xfId="10647" xr:uid="{EA205B11-E640-4B10-8E3A-E4C7871EB0F8}"/>
    <cellStyle name="Normal 4 6 3 7" xfId="2555" xr:uid="{00000000-0005-0000-0000-000078160000}"/>
    <cellStyle name="Normal 4 6 3 7 2" xfId="6839" xr:uid="{00000000-0005-0000-0000-000079160000}"/>
    <cellStyle name="Normal 4 6 3 7 2 2" xfId="15278" xr:uid="{502F7AA4-6499-4425-B3BD-602E0A279F54}"/>
    <cellStyle name="Normal 4 6 3 7 3" xfId="11060" xr:uid="{FD374771-5AC7-423E-B73D-3EA8321B6281}"/>
    <cellStyle name="Normal 4 6 3 8" xfId="4774" xr:uid="{00000000-0005-0000-0000-00007A160000}"/>
    <cellStyle name="Normal 4 6 3 8 2" xfId="13213" xr:uid="{BFBE4836-28C2-42A4-8F98-697EE317EAB0}"/>
    <cellStyle name="Normal 4 6 3 9" xfId="8995" xr:uid="{DAA61DF4-EF39-4D1F-AB0C-6EC6ED9B508B}"/>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15773" xr:uid="{1AE8A571-397B-4ABB-9538-AD3714689128}"/>
    <cellStyle name="Normal 4 6 4 2 2 3" xfId="11555" xr:uid="{510C9DA5-1FEB-41B9-A3C5-0254E8CF991A}"/>
    <cellStyle name="Normal 4 6 4 2 3" xfId="5189" xr:uid="{00000000-0005-0000-0000-00007F160000}"/>
    <cellStyle name="Normal 4 6 4 2 3 2" xfId="13628" xr:uid="{D141C6EA-77BC-44E2-A69A-5702FCC455DE}"/>
    <cellStyle name="Normal 4 6 4 2 4" xfId="9410" xr:uid="{6EBBDB61-6C5D-4C91-9EDD-6750D9AAB7A9}"/>
    <cellStyle name="Normal 4 6 4 3" xfId="1294" xr:uid="{00000000-0005-0000-0000-000080160000}"/>
    <cellStyle name="Normal 4 6 4 3 2" xfId="3524" xr:uid="{00000000-0005-0000-0000-000081160000}"/>
    <cellStyle name="Normal 4 6 4 3 2 2" xfId="7747" xr:uid="{00000000-0005-0000-0000-000082160000}"/>
    <cellStyle name="Normal 4 6 4 3 2 2 2" xfId="16186" xr:uid="{8527380D-DF5F-46F3-903C-FB3F777E9A22}"/>
    <cellStyle name="Normal 4 6 4 3 2 3" xfId="11968" xr:uid="{52525D2E-CB3F-4D1A-977E-4A9A3CFDFBF0}"/>
    <cellStyle name="Normal 4 6 4 3 3" xfId="5602" xr:uid="{00000000-0005-0000-0000-000083160000}"/>
    <cellStyle name="Normal 4 6 4 3 3 2" xfId="14041" xr:uid="{F938746A-4621-4A7B-B1F7-594F16B75BDF}"/>
    <cellStyle name="Normal 4 6 4 3 4" xfId="9823" xr:uid="{4F02E779-F9D9-4EDC-8FE6-C086126D2F2E}"/>
    <cellStyle name="Normal 4 6 4 4" xfId="1707" xr:uid="{00000000-0005-0000-0000-000084160000}"/>
    <cellStyle name="Normal 4 6 4 4 2" xfId="3937" xr:uid="{00000000-0005-0000-0000-000085160000}"/>
    <cellStyle name="Normal 4 6 4 4 2 2" xfId="8160" xr:uid="{00000000-0005-0000-0000-000086160000}"/>
    <cellStyle name="Normal 4 6 4 4 2 2 2" xfId="16599" xr:uid="{8643DF6F-192C-42A3-8A75-DA463934600F}"/>
    <cellStyle name="Normal 4 6 4 4 2 3" xfId="12381" xr:uid="{B004D610-6464-4AC5-8D30-64C1A90116DC}"/>
    <cellStyle name="Normal 4 6 4 4 3" xfId="6015" xr:uid="{00000000-0005-0000-0000-000087160000}"/>
    <cellStyle name="Normal 4 6 4 4 3 2" xfId="14454" xr:uid="{1B40C23C-707C-4ED5-82B0-D6A1C7719239}"/>
    <cellStyle name="Normal 4 6 4 4 4" xfId="10236" xr:uid="{98764D05-BF35-4B56-8A84-2896379283CC}"/>
    <cellStyle name="Normal 4 6 4 5" xfId="2121" xr:uid="{00000000-0005-0000-0000-000088160000}"/>
    <cellStyle name="Normal 4 6 4 5 2" xfId="4350" xr:uid="{00000000-0005-0000-0000-000089160000}"/>
    <cellStyle name="Normal 4 6 4 5 2 2" xfId="8573" xr:uid="{00000000-0005-0000-0000-00008A160000}"/>
    <cellStyle name="Normal 4 6 4 5 2 2 2" xfId="17012" xr:uid="{E7B6D951-B1BB-4D32-8842-742774E61600}"/>
    <cellStyle name="Normal 4 6 4 5 2 3" xfId="12794" xr:uid="{80A2850F-1820-47E1-9C3D-44AC1D9CE1D7}"/>
    <cellStyle name="Normal 4 6 4 5 3" xfId="6428" xr:uid="{00000000-0005-0000-0000-00008B160000}"/>
    <cellStyle name="Normal 4 6 4 5 3 2" xfId="14867" xr:uid="{DD513A4C-C6AF-407A-ADEE-80E5A9265CB8}"/>
    <cellStyle name="Normal 4 6 4 5 4" xfId="10649" xr:uid="{3B960E63-2AB3-436E-A083-FE9FFC61EE4F}"/>
    <cellStyle name="Normal 4 6 4 6" xfId="2557" xr:uid="{00000000-0005-0000-0000-00008C160000}"/>
    <cellStyle name="Normal 4 6 4 6 2" xfId="6841" xr:uid="{00000000-0005-0000-0000-00008D160000}"/>
    <cellStyle name="Normal 4 6 4 6 2 2" xfId="15280" xr:uid="{DD4FB766-9CDB-4413-8BF1-2B796DECD809}"/>
    <cellStyle name="Normal 4 6 4 6 3" xfId="11062" xr:uid="{3555EF2A-A1BD-4FFD-8E30-38DE92ABC634}"/>
    <cellStyle name="Normal 4 6 4 7" xfId="4776" xr:uid="{00000000-0005-0000-0000-00008E160000}"/>
    <cellStyle name="Normal 4 6 4 7 2" xfId="13215" xr:uid="{4CF40E32-6802-48F4-BBE8-C0D88417F958}"/>
    <cellStyle name="Normal 4 6 4 8" xfId="8997" xr:uid="{046623F0-1C22-4B4F-AFA0-AEE57140F040}"/>
    <cellStyle name="Normal 4 6 5" xfId="869" xr:uid="{00000000-0005-0000-0000-00008F160000}"/>
    <cellStyle name="Normal 4 6 5 2" xfId="3104" xr:uid="{00000000-0005-0000-0000-000090160000}"/>
    <cellStyle name="Normal 4 6 5 2 2" xfId="7327" xr:uid="{00000000-0005-0000-0000-000091160000}"/>
    <cellStyle name="Normal 4 6 5 2 2 2" xfId="15766" xr:uid="{742836CA-5D6D-41ED-B496-0534DBCF3196}"/>
    <cellStyle name="Normal 4 6 5 2 3" xfId="11548" xr:uid="{2DD8CCFD-D564-499A-93F3-28468B6C6B3D}"/>
    <cellStyle name="Normal 4 6 5 3" xfId="5182" xr:uid="{00000000-0005-0000-0000-000092160000}"/>
    <cellStyle name="Normal 4 6 5 3 2" xfId="13621" xr:uid="{A9ED698E-7441-4F63-A8CB-08E290F28112}"/>
    <cellStyle name="Normal 4 6 5 4" xfId="9403" xr:uid="{050AE299-2ABD-44A0-9CB4-79654748259B}"/>
    <cellStyle name="Normal 4 6 6" xfId="1287" xr:uid="{00000000-0005-0000-0000-000093160000}"/>
    <cellStyle name="Normal 4 6 6 2" xfId="3517" xr:uid="{00000000-0005-0000-0000-000094160000}"/>
    <cellStyle name="Normal 4 6 6 2 2" xfId="7740" xr:uid="{00000000-0005-0000-0000-000095160000}"/>
    <cellStyle name="Normal 4 6 6 2 2 2" xfId="16179" xr:uid="{2AAEBCD1-9F73-4F7B-A60D-66D023F97FA3}"/>
    <cellStyle name="Normal 4 6 6 2 3" xfId="11961" xr:uid="{16FD2B31-1391-4936-9E69-36F0B079B724}"/>
    <cellStyle name="Normal 4 6 6 3" xfId="5595" xr:uid="{00000000-0005-0000-0000-000096160000}"/>
    <cellStyle name="Normal 4 6 6 3 2" xfId="14034" xr:uid="{72F202C2-0C71-46EC-9495-DE4B664F4596}"/>
    <cellStyle name="Normal 4 6 6 4" xfId="9816" xr:uid="{A1A600D1-952E-4C6F-8914-0993258A56A1}"/>
    <cellStyle name="Normal 4 6 7" xfId="1700" xr:uid="{00000000-0005-0000-0000-000097160000}"/>
    <cellStyle name="Normal 4 6 7 2" xfId="3930" xr:uid="{00000000-0005-0000-0000-000098160000}"/>
    <cellStyle name="Normal 4 6 7 2 2" xfId="8153" xr:uid="{00000000-0005-0000-0000-000099160000}"/>
    <cellStyle name="Normal 4 6 7 2 2 2" xfId="16592" xr:uid="{7809D0FC-B48F-4683-8D89-0EDC1D22EDB6}"/>
    <cellStyle name="Normal 4 6 7 2 3" xfId="12374" xr:uid="{B8FCA096-CE6C-4A8A-A5D3-212248A65337}"/>
    <cellStyle name="Normal 4 6 7 3" xfId="6008" xr:uid="{00000000-0005-0000-0000-00009A160000}"/>
    <cellStyle name="Normal 4 6 7 3 2" xfId="14447" xr:uid="{F548AAF3-34F3-42A5-988D-CF2E315E9131}"/>
    <cellStyle name="Normal 4 6 7 4" xfId="10229" xr:uid="{9329D9DE-C50B-47A6-A362-E9C6CD70DF6E}"/>
    <cellStyle name="Normal 4 6 8" xfId="2114" xr:uid="{00000000-0005-0000-0000-00009B160000}"/>
    <cellStyle name="Normal 4 6 8 2" xfId="4343" xr:uid="{00000000-0005-0000-0000-00009C160000}"/>
    <cellStyle name="Normal 4 6 8 2 2" xfId="8566" xr:uid="{00000000-0005-0000-0000-00009D160000}"/>
    <cellStyle name="Normal 4 6 8 2 2 2" xfId="17005" xr:uid="{7399E72B-3C82-4CDF-ACEC-2A3342090E2E}"/>
    <cellStyle name="Normal 4 6 8 2 3" xfId="12787" xr:uid="{B15338F0-01FF-43E8-8AED-9DE96CF05868}"/>
    <cellStyle name="Normal 4 6 8 3" xfId="6421" xr:uid="{00000000-0005-0000-0000-00009E160000}"/>
    <cellStyle name="Normal 4 6 8 3 2" xfId="14860" xr:uid="{5735EF3C-D04D-4BCF-8803-E38F3C80B55B}"/>
    <cellStyle name="Normal 4 6 8 4" xfId="10642" xr:uid="{A02355B6-3C2A-4974-9A17-CDA6196DAAAA}"/>
    <cellStyle name="Normal 4 6 9" xfId="2550" xr:uid="{00000000-0005-0000-0000-00009F160000}"/>
    <cellStyle name="Normal 4 6 9 2" xfId="6834" xr:uid="{00000000-0005-0000-0000-0000A0160000}"/>
    <cellStyle name="Normal 4 6 9 2 2" xfId="15273" xr:uid="{DD878297-BC48-4E4E-A19E-93F36B3164E6}"/>
    <cellStyle name="Normal 4 6 9 3" xfId="11055" xr:uid="{927647CF-A1F6-4A96-BAA1-9EF4B978B70B}"/>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15775" xr:uid="{FE01ED98-9D98-43B9-99D1-CFB187B77461}"/>
    <cellStyle name="Normal 4 7 2 2 2 3" xfId="11557" xr:uid="{9F557FAF-D7E1-4B15-9C62-16FD0671A9FF}"/>
    <cellStyle name="Normal 4 7 2 2 3" xfId="5191" xr:uid="{00000000-0005-0000-0000-0000A6160000}"/>
    <cellStyle name="Normal 4 7 2 2 3 2" xfId="13630" xr:uid="{FE5B8BD9-DCF3-4DE6-8B25-E797D3DDD3D2}"/>
    <cellStyle name="Normal 4 7 2 2 4" xfId="9412" xr:uid="{261D4750-3960-4B70-B43F-E38AC33AB3F8}"/>
    <cellStyle name="Normal 4 7 2 3" xfId="1296" xr:uid="{00000000-0005-0000-0000-0000A7160000}"/>
    <cellStyle name="Normal 4 7 2 3 2" xfId="3526" xr:uid="{00000000-0005-0000-0000-0000A8160000}"/>
    <cellStyle name="Normal 4 7 2 3 2 2" xfId="7749" xr:uid="{00000000-0005-0000-0000-0000A9160000}"/>
    <cellStyle name="Normal 4 7 2 3 2 2 2" xfId="16188" xr:uid="{7334FEC7-BEFD-4714-AB06-20D323D89185}"/>
    <cellStyle name="Normal 4 7 2 3 2 3" xfId="11970" xr:uid="{57A4EC23-69C5-48B0-BE21-4707E4DC7424}"/>
    <cellStyle name="Normal 4 7 2 3 3" xfId="5604" xr:uid="{00000000-0005-0000-0000-0000AA160000}"/>
    <cellStyle name="Normal 4 7 2 3 3 2" xfId="14043" xr:uid="{14AB5077-5691-4FC1-ADC1-B8FD01C01726}"/>
    <cellStyle name="Normal 4 7 2 3 4" xfId="9825" xr:uid="{DA02B206-B223-4E1B-B83B-C5B7A7120BB4}"/>
    <cellStyle name="Normal 4 7 2 4" xfId="1709" xr:uid="{00000000-0005-0000-0000-0000AB160000}"/>
    <cellStyle name="Normal 4 7 2 4 2" xfId="3939" xr:uid="{00000000-0005-0000-0000-0000AC160000}"/>
    <cellStyle name="Normal 4 7 2 4 2 2" xfId="8162" xr:uid="{00000000-0005-0000-0000-0000AD160000}"/>
    <cellStyle name="Normal 4 7 2 4 2 2 2" xfId="16601" xr:uid="{633CD209-7ED5-4A1B-ADBD-32721931CE1B}"/>
    <cellStyle name="Normal 4 7 2 4 2 3" xfId="12383" xr:uid="{6F9A574C-C122-414E-AD16-833BE198537D}"/>
    <cellStyle name="Normal 4 7 2 4 3" xfId="6017" xr:uid="{00000000-0005-0000-0000-0000AE160000}"/>
    <cellStyle name="Normal 4 7 2 4 3 2" xfId="14456" xr:uid="{C7F6A1B3-1F99-4034-9C04-735FA97DAB98}"/>
    <cellStyle name="Normal 4 7 2 4 4" xfId="10238" xr:uid="{9F1BD712-3AE7-4492-9A97-864854B9197E}"/>
    <cellStyle name="Normal 4 7 2 5" xfId="2123" xr:uid="{00000000-0005-0000-0000-0000AF160000}"/>
    <cellStyle name="Normal 4 7 2 5 2" xfId="4352" xr:uid="{00000000-0005-0000-0000-0000B0160000}"/>
    <cellStyle name="Normal 4 7 2 5 2 2" xfId="8575" xr:uid="{00000000-0005-0000-0000-0000B1160000}"/>
    <cellStyle name="Normal 4 7 2 5 2 2 2" xfId="17014" xr:uid="{99EE51CB-DAFD-45A8-811F-C50DD6479C0E}"/>
    <cellStyle name="Normal 4 7 2 5 2 3" xfId="12796" xr:uid="{016E7FBF-64B3-4D85-AA02-EDA7BD5F15F5}"/>
    <cellStyle name="Normal 4 7 2 5 3" xfId="6430" xr:uid="{00000000-0005-0000-0000-0000B2160000}"/>
    <cellStyle name="Normal 4 7 2 5 3 2" xfId="14869" xr:uid="{11B9A5CC-68DC-4B2C-8B1E-1F93F6E99DE3}"/>
    <cellStyle name="Normal 4 7 2 5 4" xfId="10651" xr:uid="{832987E8-709A-4AA9-97B8-2462D0A4F746}"/>
    <cellStyle name="Normal 4 7 2 6" xfId="2559" xr:uid="{00000000-0005-0000-0000-0000B3160000}"/>
    <cellStyle name="Normal 4 7 2 6 2" xfId="6843" xr:uid="{00000000-0005-0000-0000-0000B4160000}"/>
    <cellStyle name="Normal 4 7 2 6 2 2" xfId="15282" xr:uid="{A95406EB-4988-4AF8-B942-3AC00B79C591}"/>
    <cellStyle name="Normal 4 7 2 6 3" xfId="11064" xr:uid="{76038A5E-418B-46E1-9596-B24759C2A3A1}"/>
    <cellStyle name="Normal 4 7 2 7" xfId="4778" xr:uid="{00000000-0005-0000-0000-0000B5160000}"/>
    <cellStyle name="Normal 4 7 2 7 2" xfId="13217" xr:uid="{CDAD17C9-6D67-489F-819E-24BC39E5D9FD}"/>
    <cellStyle name="Normal 4 7 2 8" xfId="8999" xr:uid="{71D70616-A1FB-4267-AF12-4CF92825D0A6}"/>
    <cellStyle name="Normal 4 7 3" xfId="877" xr:uid="{00000000-0005-0000-0000-0000B6160000}"/>
    <cellStyle name="Normal 4 7 3 2" xfId="3112" xr:uid="{00000000-0005-0000-0000-0000B7160000}"/>
    <cellStyle name="Normal 4 7 3 2 2" xfId="7335" xr:uid="{00000000-0005-0000-0000-0000B8160000}"/>
    <cellStyle name="Normal 4 7 3 2 2 2" xfId="15774" xr:uid="{2C1D8C23-E6A4-44CE-A064-D59ADFE7092A}"/>
    <cellStyle name="Normal 4 7 3 2 3" xfId="11556" xr:uid="{D7C61B4B-9ED4-41A4-A249-6459532BC9A8}"/>
    <cellStyle name="Normal 4 7 3 3" xfId="5190" xr:uid="{00000000-0005-0000-0000-0000B9160000}"/>
    <cellStyle name="Normal 4 7 3 3 2" xfId="13629" xr:uid="{D396C2A5-9CA1-41BB-9D78-E1341AD0D48D}"/>
    <cellStyle name="Normal 4 7 3 4" xfId="9411" xr:uid="{E8889ADC-EA72-4FD4-92FB-2243F3B9057B}"/>
    <cellStyle name="Normal 4 7 4" xfId="1295" xr:uid="{00000000-0005-0000-0000-0000BA160000}"/>
    <cellStyle name="Normal 4 7 4 2" xfId="3525" xr:uid="{00000000-0005-0000-0000-0000BB160000}"/>
    <cellStyle name="Normal 4 7 4 2 2" xfId="7748" xr:uid="{00000000-0005-0000-0000-0000BC160000}"/>
    <cellStyle name="Normal 4 7 4 2 2 2" xfId="16187" xr:uid="{ABA220E2-A75F-415D-8681-148D640DC054}"/>
    <cellStyle name="Normal 4 7 4 2 3" xfId="11969" xr:uid="{A9D4AEC0-1E6D-4FE0-9146-A1542788E287}"/>
    <cellStyle name="Normal 4 7 4 3" xfId="5603" xr:uid="{00000000-0005-0000-0000-0000BD160000}"/>
    <cellStyle name="Normal 4 7 4 3 2" xfId="14042" xr:uid="{CC0A217A-3310-4EA3-B0C8-70D746DC4763}"/>
    <cellStyle name="Normal 4 7 4 4" xfId="9824" xr:uid="{329DB83A-1A0B-402D-8B30-602063F96280}"/>
    <cellStyle name="Normal 4 7 5" xfId="1708" xr:uid="{00000000-0005-0000-0000-0000BE160000}"/>
    <cellStyle name="Normal 4 7 5 2" xfId="3938" xr:uid="{00000000-0005-0000-0000-0000BF160000}"/>
    <cellStyle name="Normal 4 7 5 2 2" xfId="8161" xr:uid="{00000000-0005-0000-0000-0000C0160000}"/>
    <cellStyle name="Normal 4 7 5 2 2 2" xfId="16600" xr:uid="{BDAE7F0D-B147-4C57-983F-4C8F6F210056}"/>
    <cellStyle name="Normal 4 7 5 2 3" xfId="12382" xr:uid="{A0C8392F-AB34-4989-B8F8-DD0615B37529}"/>
    <cellStyle name="Normal 4 7 5 3" xfId="6016" xr:uid="{00000000-0005-0000-0000-0000C1160000}"/>
    <cellStyle name="Normal 4 7 5 3 2" xfId="14455" xr:uid="{8C5EB804-F6A3-4016-AB12-7826010B325C}"/>
    <cellStyle name="Normal 4 7 5 4" xfId="10237" xr:uid="{ADF1CE04-25E5-4CFD-ADED-ED8E38DC687F}"/>
    <cellStyle name="Normal 4 7 6" xfId="2122" xr:uid="{00000000-0005-0000-0000-0000C2160000}"/>
    <cellStyle name="Normal 4 7 6 2" xfId="4351" xr:uid="{00000000-0005-0000-0000-0000C3160000}"/>
    <cellStyle name="Normal 4 7 6 2 2" xfId="8574" xr:uid="{00000000-0005-0000-0000-0000C4160000}"/>
    <cellStyle name="Normal 4 7 6 2 2 2" xfId="17013" xr:uid="{BB13798F-28EF-4975-A67D-171E5089AD0C}"/>
    <cellStyle name="Normal 4 7 6 2 3" xfId="12795" xr:uid="{975CA973-5E47-4F2D-AEFD-EA5BD55082BD}"/>
    <cellStyle name="Normal 4 7 6 3" xfId="6429" xr:uid="{00000000-0005-0000-0000-0000C5160000}"/>
    <cellStyle name="Normal 4 7 6 3 2" xfId="14868" xr:uid="{F1282113-F274-4EBD-9FBF-806338635E90}"/>
    <cellStyle name="Normal 4 7 6 4" xfId="10650" xr:uid="{2270C5CD-4C2B-408C-92CC-01D6A8396B69}"/>
    <cellStyle name="Normal 4 7 7" xfId="2558" xr:uid="{00000000-0005-0000-0000-0000C6160000}"/>
    <cellStyle name="Normal 4 7 7 2" xfId="6842" xr:uid="{00000000-0005-0000-0000-0000C7160000}"/>
    <cellStyle name="Normal 4 7 7 2 2" xfId="15281" xr:uid="{B2654866-E5A9-4BE1-AC2C-2FA0DCF2487A}"/>
    <cellStyle name="Normal 4 7 7 3" xfId="11063" xr:uid="{59A9D76D-D7B3-4E7B-93B8-F5909E9B773F}"/>
    <cellStyle name="Normal 4 7 8" xfId="4777" xr:uid="{00000000-0005-0000-0000-0000C8160000}"/>
    <cellStyle name="Normal 4 7 8 2" xfId="13216" xr:uid="{E2656CF4-1B93-4AB5-A49F-4897ADA647D1}"/>
    <cellStyle name="Normal 4 7 9" xfId="8998" xr:uid="{69925DD9-D965-4C45-BB90-223F390C31D1}"/>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15776" xr:uid="{ADA53A63-37F2-4590-BD46-6890687E8C84}"/>
    <cellStyle name="Normal 4 8 2 2 3" xfId="11558" xr:uid="{3C4664F2-F224-441D-9EEC-2BD481446401}"/>
    <cellStyle name="Normal 4 8 2 3" xfId="5192" xr:uid="{00000000-0005-0000-0000-0000CD160000}"/>
    <cellStyle name="Normal 4 8 2 3 2" xfId="13631" xr:uid="{BD77419E-BF8C-445E-8D85-C102EE720685}"/>
    <cellStyle name="Normal 4 8 2 4" xfId="9413" xr:uid="{F82084E7-6078-48AB-AEBC-1E9A685F959D}"/>
    <cellStyle name="Normal 4 8 3" xfId="1297" xr:uid="{00000000-0005-0000-0000-0000CE160000}"/>
    <cellStyle name="Normal 4 8 3 2" xfId="3527" xr:uid="{00000000-0005-0000-0000-0000CF160000}"/>
    <cellStyle name="Normal 4 8 3 2 2" xfId="7750" xr:uid="{00000000-0005-0000-0000-0000D0160000}"/>
    <cellStyle name="Normal 4 8 3 2 2 2" xfId="16189" xr:uid="{EE1561F5-1B6C-4F43-AE26-E1D04CCA1AF3}"/>
    <cellStyle name="Normal 4 8 3 2 3" xfId="11971" xr:uid="{986AD313-F52A-45B6-9034-D236D49C6162}"/>
    <cellStyle name="Normal 4 8 3 3" xfId="5605" xr:uid="{00000000-0005-0000-0000-0000D1160000}"/>
    <cellStyle name="Normal 4 8 3 3 2" xfId="14044" xr:uid="{170692F4-617E-42D3-904E-EEAE69CF83D2}"/>
    <cellStyle name="Normal 4 8 3 4" xfId="9826" xr:uid="{487F1182-BDC5-41BF-9097-77049A01F22D}"/>
    <cellStyle name="Normal 4 8 4" xfId="1710" xr:uid="{00000000-0005-0000-0000-0000D2160000}"/>
    <cellStyle name="Normal 4 8 4 2" xfId="3940" xr:uid="{00000000-0005-0000-0000-0000D3160000}"/>
    <cellStyle name="Normal 4 8 4 2 2" xfId="8163" xr:uid="{00000000-0005-0000-0000-0000D4160000}"/>
    <cellStyle name="Normal 4 8 4 2 2 2" xfId="16602" xr:uid="{BE916CE7-D367-48D9-855D-FC10D9303A31}"/>
    <cellStyle name="Normal 4 8 4 2 3" xfId="12384" xr:uid="{545C18FD-3DD4-403F-8555-CD0BA75B1714}"/>
    <cellStyle name="Normal 4 8 4 3" xfId="6018" xr:uid="{00000000-0005-0000-0000-0000D5160000}"/>
    <cellStyle name="Normal 4 8 4 3 2" xfId="14457" xr:uid="{A5BFD930-8DF0-4A57-B05A-5250A00B287E}"/>
    <cellStyle name="Normal 4 8 4 4" xfId="10239" xr:uid="{6F3D52E0-449C-41A9-B283-0E832C304111}"/>
    <cellStyle name="Normal 4 8 5" xfId="2124" xr:uid="{00000000-0005-0000-0000-0000D6160000}"/>
    <cellStyle name="Normal 4 8 5 2" xfId="4353" xr:uid="{00000000-0005-0000-0000-0000D7160000}"/>
    <cellStyle name="Normal 4 8 5 2 2" xfId="8576" xr:uid="{00000000-0005-0000-0000-0000D8160000}"/>
    <cellStyle name="Normal 4 8 5 2 2 2" xfId="17015" xr:uid="{BF3BF510-3560-4F24-BA77-D07607939DD3}"/>
    <cellStyle name="Normal 4 8 5 2 3" xfId="12797" xr:uid="{A8C74503-7FFB-4517-954E-1D8D8A5F40E2}"/>
    <cellStyle name="Normal 4 8 5 3" xfId="6431" xr:uid="{00000000-0005-0000-0000-0000D9160000}"/>
    <cellStyle name="Normal 4 8 5 3 2" xfId="14870" xr:uid="{259DC825-C4A0-40B0-B5D0-BDA429B5E9BC}"/>
    <cellStyle name="Normal 4 8 5 4" xfId="10652" xr:uid="{586B8035-9A55-4180-82B4-2295F181BE3A}"/>
    <cellStyle name="Normal 4 8 6" xfId="2560" xr:uid="{00000000-0005-0000-0000-0000DA160000}"/>
    <cellStyle name="Normal 4 8 6 2" xfId="6844" xr:uid="{00000000-0005-0000-0000-0000DB160000}"/>
    <cellStyle name="Normal 4 8 6 2 2" xfId="15283" xr:uid="{FFE5426B-B925-40F1-B502-6BA97E66749F}"/>
    <cellStyle name="Normal 4 8 6 3" xfId="11065" xr:uid="{66ECEDD9-B63A-4FA2-8E3D-44B5158CADF1}"/>
    <cellStyle name="Normal 4 8 7" xfId="4779" xr:uid="{00000000-0005-0000-0000-0000DC160000}"/>
    <cellStyle name="Normal 4 8 7 2" xfId="13218" xr:uid="{BEB6955E-F952-44FF-9BBC-F3A2565141D3}"/>
    <cellStyle name="Normal 4 8 8" xfId="9000" xr:uid="{D6308238-699F-44D4-9603-58A1744D65EC}"/>
    <cellStyle name="Normal 4 9" xfId="4716" xr:uid="{00000000-0005-0000-0000-0000DD160000}"/>
    <cellStyle name="Normal 4 9 2" xfId="13155" xr:uid="{F6ABF458-4E66-4E6E-8C9B-0F9D37AD7EA1}"/>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16603" xr:uid="{DD22A80D-7EA2-4A01-A32B-110CFB514186}"/>
    <cellStyle name="Normal 5 10 2 3" xfId="12385" xr:uid="{B961FFB5-857E-43AF-B373-45CDE8079405}"/>
    <cellStyle name="Normal 5 10 3" xfId="6019" xr:uid="{00000000-0005-0000-0000-0000E2160000}"/>
    <cellStyle name="Normal 5 10 3 2" xfId="14458" xr:uid="{33B3A090-3DAA-432C-8E8D-37495C5F7272}"/>
    <cellStyle name="Normal 5 10 4" xfId="10240" xr:uid="{D4CB0CF8-6676-40D5-BA3A-18F494CD5982}"/>
    <cellStyle name="Normal 5 11" xfId="2125" xr:uid="{00000000-0005-0000-0000-0000E3160000}"/>
    <cellStyle name="Normal 5 11 2" xfId="4354" xr:uid="{00000000-0005-0000-0000-0000E4160000}"/>
    <cellStyle name="Normal 5 11 2 2" xfId="8577" xr:uid="{00000000-0005-0000-0000-0000E5160000}"/>
    <cellStyle name="Normal 5 11 2 2 2" xfId="17016" xr:uid="{ECC32683-83C4-42A4-87B5-0CE37EABF6EB}"/>
    <cellStyle name="Normal 5 11 2 3" xfId="12798" xr:uid="{428293E0-7A09-4D8D-86BD-F791CC59A306}"/>
    <cellStyle name="Normal 5 11 3" xfId="6432" xr:uid="{00000000-0005-0000-0000-0000E6160000}"/>
    <cellStyle name="Normal 5 11 3 2" xfId="14871" xr:uid="{336806AC-D1CB-4389-904D-B3CF8EDFDFED}"/>
    <cellStyle name="Normal 5 11 4" xfId="10653" xr:uid="{F171F476-F299-4D2C-A80F-3DC5E351C619}"/>
    <cellStyle name="Normal 5 12" xfId="2561" xr:uid="{00000000-0005-0000-0000-0000E7160000}"/>
    <cellStyle name="Normal 5 12 2" xfId="6845" xr:uid="{00000000-0005-0000-0000-0000E8160000}"/>
    <cellStyle name="Normal 5 12 2 2" xfId="15284" xr:uid="{6184693B-63FB-456E-8900-62EC2C7AD0BD}"/>
    <cellStyle name="Normal 5 12 3" xfId="11066" xr:uid="{3B114BC0-8DCE-4120-8298-A459ED72452F}"/>
    <cellStyle name="Normal 5 13" xfId="4780" xr:uid="{00000000-0005-0000-0000-0000E9160000}"/>
    <cellStyle name="Normal 5 13 2" xfId="13219" xr:uid="{0D1CB7BA-35B1-4A6B-A44A-4D260B311B35}"/>
    <cellStyle name="Normal 5 14" xfId="9001" xr:uid="{B666A6F7-4CE6-4A38-890A-CF8BB01007AA}"/>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17017" xr:uid="{DCCBF6FB-2721-4239-8A87-94704E5E072D}"/>
    <cellStyle name="Normal 5 2 10 2 3" xfId="12799" xr:uid="{85135B9C-2254-4D8E-B25A-5D7A3B62FDE4}"/>
    <cellStyle name="Normal 5 2 10 3" xfId="6433" xr:uid="{00000000-0005-0000-0000-0000EE160000}"/>
    <cellStyle name="Normal 5 2 10 3 2" xfId="14872" xr:uid="{E5333621-9B9E-4855-B812-9868EDC55012}"/>
    <cellStyle name="Normal 5 2 10 4" xfId="10654" xr:uid="{8A6EC44A-B4AC-417A-A737-F8B7495CC8B2}"/>
    <cellStyle name="Normal 5 2 11" xfId="2562" xr:uid="{00000000-0005-0000-0000-0000EF160000}"/>
    <cellStyle name="Normal 5 2 11 2" xfId="6846" xr:uid="{00000000-0005-0000-0000-0000F0160000}"/>
    <cellStyle name="Normal 5 2 11 2 2" xfId="15285" xr:uid="{A9D2E976-CB32-481F-A729-EFF7763D6E48}"/>
    <cellStyle name="Normal 5 2 11 3" xfId="11067" xr:uid="{882957FF-75BF-4C54-BA23-CC13496218F1}"/>
    <cellStyle name="Normal 5 2 12" xfId="4781" xr:uid="{00000000-0005-0000-0000-0000F1160000}"/>
    <cellStyle name="Normal 5 2 12 2" xfId="13220" xr:uid="{4AD0FE08-597B-490C-827C-B371CBE915AC}"/>
    <cellStyle name="Normal 5 2 13" xfId="9002" xr:uid="{26A79808-949D-4F8F-A39C-6453D21C66BD}"/>
    <cellStyle name="Normal 5 2 2" xfId="408" xr:uid="{00000000-0005-0000-0000-0000F2160000}"/>
    <cellStyle name="Normal 5 2 2 10" xfId="2563" xr:uid="{00000000-0005-0000-0000-0000F3160000}"/>
    <cellStyle name="Normal 5 2 2 10 2" xfId="6847" xr:uid="{00000000-0005-0000-0000-0000F4160000}"/>
    <cellStyle name="Normal 5 2 2 10 2 2" xfId="15286" xr:uid="{536FF20A-A80F-4EDF-8E2E-C1DA7765FF7F}"/>
    <cellStyle name="Normal 5 2 2 10 3" xfId="11068" xr:uid="{0077A29E-E776-4053-ACF4-8112B8FEF6BA}"/>
    <cellStyle name="Normal 5 2 2 11" xfId="4782" xr:uid="{00000000-0005-0000-0000-0000F5160000}"/>
    <cellStyle name="Normal 5 2 2 11 2" xfId="13221" xr:uid="{B96EFE6B-0D27-4739-8524-7BB9811994C5}"/>
    <cellStyle name="Normal 5 2 2 12" xfId="9003" xr:uid="{9F16BEA0-BC9C-4F98-B371-54A2A308623E}"/>
    <cellStyle name="Normal 5 2 2 2" xfId="409" xr:uid="{00000000-0005-0000-0000-0000F6160000}"/>
    <cellStyle name="Normal 5 2 2 2 10" xfId="4783" xr:uid="{00000000-0005-0000-0000-0000F7160000}"/>
    <cellStyle name="Normal 5 2 2 2 10 2" xfId="13222" xr:uid="{DA6CF0BD-CA80-41A4-8A22-E233CC796357}"/>
    <cellStyle name="Normal 5 2 2 2 11" xfId="9004" xr:uid="{0514ADCC-0C7F-4A3D-874B-A6D7D8BE1252}"/>
    <cellStyle name="Normal 5 2 2 2 2" xfId="410" xr:uid="{00000000-0005-0000-0000-0000F8160000}"/>
    <cellStyle name="Normal 5 2 2 2 2 10" xfId="9005" xr:uid="{0F51061E-43D9-4A25-90F4-EE58535D1809}"/>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5783" xr:uid="{820E5110-00A7-4E7B-BEC8-F6E904ABAFAD}"/>
    <cellStyle name="Normal 5 2 2 2 2 2 2 2 2 3" xfId="11565" xr:uid="{C43988C0-4544-480C-A4D5-F1D22D99F88A}"/>
    <cellStyle name="Normal 5 2 2 2 2 2 2 2 3" xfId="5199" xr:uid="{00000000-0005-0000-0000-0000FE160000}"/>
    <cellStyle name="Normal 5 2 2 2 2 2 2 2 3 2" xfId="13638" xr:uid="{2E280E4A-1C7F-4F44-A7A3-E0DBE920CD0E}"/>
    <cellStyle name="Normal 5 2 2 2 2 2 2 2 4" xfId="9420" xr:uid="{4E674547-CD73-43F6-8187-345317DF7FBB}"/>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16196" xr:uid="{16770C59-A15E-48D6-8931-813B25B6DFD3}"/>
    <cellStyle name="Normal 5 2 2 2 2 2 2 3 2 3" xfId="11978" xr:uid="{C0976DE3-445E-4A9E-B649-7E2AA9C58AA7}"/>
    <cellStyle name="Normal 5 2 2 2 2 2 2 3 3" xfId="5612" xr:uid="{00000000-0005-0000-0000-000002170000}"/>
    <cellStyle name="Normal 5 2 2 2 2 2 2 3 3 2" xfId="14051" xr:uid="{B25CE41E-BC41-4C10-868D-068ABF93D23D}"/>
    <cellStyle name="Normal 5 2 2 2 2 2 2 3 4" xfId="9833" xr:uid="{C737825C-8CAB-4EC1-AFB8-E5ED9688AEE5}"/>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16609" xr:uid="{D86AB5C0-F1D5-48B9-87CF-42C1382D1233}"/>
    <cellStyle name="Normal 5 2 2 2 2 2 2 4 2 3" xfId="12391" xr:uid="{9D4B2EF3-300C-4071-B4D6-E81DD5D0F818}"/>
    <cellStyle name="Normal 5 2 2 2 2 2 2 4 3" xfId="6025" xr:uid="{00000000-0005-0000-0000-000006170000}"/>
    <cellStyle name="Normal 5 2 2 2 2 2 2 4 3 2" xfId="14464" xr:uid="{8EA4309D-6FF5-4AEC-988D-82DAFAA3D837}"/>
    <cellStyle name="Normal 5 2 2 2 2 2 2 4 4" xfId="10246" xr:uid="{16CF9737-E8FB-4F40-BEA7-5ABC2C5D605A}"/>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17022" xr:uid="{7B120BF8-780F-40FF-B9D1-6A7E9366094C}"/>
    <cellStyle name="Normal 5 2 2 2 2 2 2 5 2 3" xfId="12804" xr:uid="{CFD598F5-EDFA-44CD-971B-A11D0FA1DEC9}"/>
    <cellStyle name="Normal 5 2 2 2 2 2 2 5 3" xfId="6438" xr:uid="{00000000-0005-0000-0000-00000A170000}"/>
    <cellStyle name="Normal 5 2 2 2 2 2 2 5 3 2" xfId="14877" xr:uid="{1DD882D0-B5A3-4F9A-A744-6CF6ABCCCA43}"/>
    <cellStyle name="Normal 5 2 2 2 2 2 2 5 4" xfId="10659" xr:uid="{9CB83F3E-B201-4225-8E47-6DFF7F37D279}"/>
    <cellStyle name="Normal 5 2 2 2 2 2 2 6" xfId="2567" xr:uid="{00000000-0005-0000-0000-00000B170000}"/>
    <cellStyle name="Normal 5 2 2 2 2 2 2 6 2" xfId="6851" xr:uid="{00000000-0005-0000-0000-00000C170000}"/>
    <cellStyle name="Normal 5 2 2 2 2 2 2 6 2 2" xfId="15290" xr:uid="{69B2C563-6EE9-4F9E-88D1-059957FB045C}"/>
    <cellStyle name="Normal 5 2 2 2 2 2 2 6 3" xfId="11072" xr:uid="{B8BF8434-2CAF-417D-8937-DEFC5E834D5F}"/>
    <cellStyle name="Normal 5 2 2 2 2 2 2 7" xfId="4786" xr:uid="{00000000-0005-0000-0000-00000D170000}"/>
    <cellStyle name="Normal 5 2 2 2 2 2 2 7 2" xfId="13225" xr:uid="{D79C90BE-1AFB-4B60-8A5F-1C104F43F72A}"/>
    <cellStyle name="Normal 5 2 2 2 2 2 2 8" xfId="9007" xr:uid="{534CEC0D-B917-4146-9E10-3C79A3ECDFBE}"/>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5782" xr:uid="{4E32518A-2F6B-42C3-BFCD-886697864DD1}"/>
    <cellStyle name="Normal 5 2 2 2 2 2 3 2 3" xfId="11564" xr:uid="{556C1C47-7620-4A65-AD68-4121ACF0D73A}"/>
    <cellStyle name="Normal 5 2 2 2 2 2 3 3" xfId="5198" xr:uid="{00000000-0005-0000-0000-000011170000}"/>
    <cellStyle name="Normal 5 2 2 2 2 2 3 3 2" xfId="13637" xr:uid="{8FCE37A7-950F-45CE-A870-0B964DD6A03F}"/>
    <cellStyle name="Normal 5 2 2 2 2 2 3 4" xfId="9419" xr:uid="{B1F12942-94A9-4C8A-B67A-8426D14E3645}"/>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16195" xr:uid="{44D1B267-F24D-4EB2-86D1-F7189FEB9340}"/>
    <cellStyle name="Normal 5 2 2 2 2 2 4 2 3" xfId="11977" xr:uid="{E9D7B570-C1B2-4507-B0E4-715DCC64E44D}"/>
    <cellStyle name="Normal 5 2 2 2 2 2 4 3" xfId="5611" xr:uid="{00000000-0005-0000-0000-000015170000}"/>
    <cellStyle name="Normal 5 2 2 2 2 2 4 3 2" xfId="14050" xr:uid="{7AC350DB-D5F1-4D48-B9B1-423384F6543B}"/>
    <cellStyle name="Normal 5 2 2 2 2 2 4 4" xfId="9832" xr:uid="{A4115FA3-2C63-49B5-A5D4-1D47B8D78B7D}"/>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16608" xr:uid="{7C6B2E72-4AEB-403A-A067-3AF908F51FA9}"/>
    <cellStyle name="Normal 5 2 2 2 2 2 5 2 3" xfId="12390" xr:uid="{21FCE1C1-E2F7-48D1-ADE8-9444BF36312D}"/>
    <cellStyle name="Normal 5 2 2 2 2 2 5 3" xfId="6024" xr:uid="{00000000-0005-0000-0000-000019170000}"/>
    <cellStyle name="Normal 5 2 2 2 2 2 5 3 2" xfId="14463" xr:uid="{AB766CE9-5849-459C-A871-AEB89653BD02}"/>
    <cellStyle name="Normal 5 2 2 2 2 2 5 4" xfId="10245" xr:uid="{D77C39A5-2FAC-4D66-95F7-81A4CEF551BD}"/>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17021" xr:uid="{2A408666-0DE6-4A55-B707-C3FBA2B92BC7}"/>
    <cellStyle name="Normal 5 2 2 2 2 2 6 2 3" xfId="12803" xr:uid="{D9528679-D8D3-4199-879E-519D5AD1D8B0}"/>
    <cellStyle name="Normal 5 2 2 2 2 2 6 3" xfId="6437" xr:uid="{00000000-0005-0000-0000-00001D170000}"/>
    <cellStyle name="Normal 5 2 2 2 2 2 6 3 2" xfId="14876" xr:uid="{54569A42-613A-4ECF-BF16-60C2C6C41770}"/>
    <cellStyle name="Normal 5 2 2 2 2 2 6 4" xfId="10658" xr:uid="{C8D8DF30-F48A-4978-94CA-4DBD0106C1AB}"/>
    <cellStyle name="Normal 5 2 2 2 2 2 7" xfId="2566" xr:uid="{00000000-0005-0000-0000-00001E170000}"/>
    <cellStyle name="Normal 5 2 2 2 2 2 7 2" xfId="6850" xr:uid="{00000000-0005-0000-0000-00001F170000}"/>
    <cellStyle name="Normal 5 2 2 2 2 2 7 2 2" xfId="15289" xr:uid="{DA64943B-35A2-4D99-965B-41F23839DEFC}"/>
    <cellStyle name="Normal 5 2 2 2 2 2 7 3" xfId="11071" xr:uid="{DA8247ED-3629-40F8-8203-A9457C289B2E}"/>
    <cellStyle name="Normal 5 2 2 2 2 2 8" xfId="4785" xr:uid="{00000000-0005-0000-0000-000020170000}"/>
    <cellStyle name="Normal 5 2 2 2 2 2 8 2" xfId="13224" xr:uid="{7FB4BAAB-5665-4A82-92EF-D2C887AAD287}"/>
    <cellStyle name="Normal 5 2 2 2 2 2 9" xfId="9006" xr:uid="{5447E74F-3F84-4BA2-ADD9-27D8BC761AE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5784" xr:uid="{E4F3749D-103B-4F1D-8F59-8E9A16C2AA8D}"/>
    <cellStyle name="Normal 5 2 2 2 2 3 2 2 3" xfId="11566" xr:uid="{EC2B699E-8D3C-4D13-8DEF-20926987DC0B}"/>
    <cellStyle name="Normal 5 2 2 2 2 3 2 3" xfId="5200" xr:uid="{00000000-0005-0000-0000-000025170000}"/>
    <cellStyle name="Normal 5 2 2 2 2 3 2 3 2" xfId="13639" xr:uid="{C295EDB5-D5AC-4C5B-B1F8-2C43BF57A95E}"/>
    <cellStyle name="Normal 5 2 2 2 2 3 2 4" xfId="9421" xr:uid="{B9760059-C81E-4F3E-A712-9F4B8FC2A45E}"/>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16197" xr:uid="{C4B48E5E-B976-459D-B495-4A5725379EF6}"/>
    <cellStyle name="Normal 5 2 2 2 2 3 3 2 3" xfId="11979" xr:uid="{B22A1B2B-0974-417E-9A1B-F5196CF2C647}"/>
    <cellStyle name="Normal 5 2 2 2 2 3 3 3" xfId="5613" xr:uid="{00000000-0005-0000-0000-000029170000}"/>
    <cellStyle name="Normal 5 2 2 2 2 3 3 3 2" xfId="14052" xr:uid="{9B68982D-CD6B-44F5-B542-64FE8BCF3F13}"/>
    <cellStyle name="Normal 5 2 2 2 2 3 3 4" xfId="9834" xr:uid="{F49D408A-F6D9-45C9-84FE-197516966881}"/>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16610" xr:uid="{7665F105-BCD5-4E85-A0A1-7FD2B9A1C53A}"/>
    <cellStyle name="Normal 5 2 2 2 2 3 4 2 3" xfId="12392" xr:uid="{68302265-18AE-4BE9-B720-F9031F5A8CB1}"/>
    <cellStyle name="Normal 5 2 2 2 2 3 4 3" xfId="6026" xr:uid="{00000000-0005-0000-0000-00002D170000}"/>
    <cellStyle name="Normal 5 2 2 2 2 3 4 3 2" xfId="14465" xr:uid="{4DC20BA4-5AA0-44F1-A06D-DBF499E09A4E}"/>
    <cellStyle name="Normal 5 2 2 2 2 3 4 4" xfId="10247" xr:uid="{8030F2E6-2717-4F5C-80C6-47BE2A2C2314}"/>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17023" xr:uid="{A8B3FEA7-7312-4D56-8B36-A2870917827D}"/>
    <cellStyle name="Normal 5 2 2 2 2 3 5 2 3" xfId="12805" xr:uid="{5E1E0381-76C6-41BF-8CDB-F3C8D128E391}"/>
    <cellStyle name="Normal 5 2 2 2 2 3 5 3" xfId="6439" xr:uid="{00000000-0005-0000-0000-000031170000}"/>
    <cellStyle name="Normal 5 2 2 2 2 3 5 3 2" xfId="14878" xr:uid="{D597F1F0-009C-4741-A5A8-66B25A9A7B5F}"/>
    <cellStyle name="Normal 5 2 2 2 2 3 5 4" xfId="10660" xr:uid="{ACD23378-776B-4743-ACE4-D8EA41DAA302}"/>
    <cellStyle name="Normal 5 2 2 2 2 3 6" xfId="2568" xr:uid="{00000000-0005-0000-0000-000032170000}"/>
    <cellStyle name="Normal 5 2 2 2 2 3 6 2" xfId="6852" xr:uid="{00000000-0005-0000-0000-000033170000}"/>
    <cellStyle name="Normal 5 2 2 2 2 3 6 2 2" xfId="15291" xr:uid="{D7788B51-43FD-458A-B7A1-096C85DD6960}"/>
    <cellStyle name="Normal 5 2 2 2 2 3 6 3" xfId="11073" xr:uid="{2C57CED1-A505-4035-AA5E-FBA6C14CF250}"/>
    <cellStyle name="Normal 5 2 2 2 2 3 7" xfId="4787" xr:uid="{00000000-0005-0000-0000-000034170000}"/>
    <cellStyle name="Normal 5 2 2 2 2 3 7 2" xfId="13226" xr:uid="{9A14E1D3-7006-42E7-8A23-D69028391774}"/>
    <cellStyle name="Normal 5 2 2 2 2 3 8" xfId="9008" xr:uid="{4A24572B-5E8A-445A-A7CC-A49A0926B27F}"/>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5781" xr:uid="{7A7D0BB0-36ED-49F3-ABED-A37044733994}"/>
    <cellStyle name="Normal 5 2 2 2 2 4 2 3" xfId="11563" xr:uid="{8A8F95DE-C5FA-40C5-9E4C-94500BB2EA88}"/>
    <cellStyle name="Normal 5 2 2 2 2 4 3" xfId="5197" xr:uid="{00000000-0005-0000-0000-000038170000}"/>
    <cellStyle name="Normal 5 2 2 2 2 4 3 2" xfId="13636" xr:uid="{A355EE9F-DAFD-4DEA-B3FA-224114E50560}"/>
    <cellStyle name="Normal 5 2 2 2 2 4 4" xfId="9418" xr:uid="{9A9948A2-15B5-430F-9239-DA83E22EDBB5}"/>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16194" xr:uid="{CCEB6534-94B9-4C42-8C19-C1F1773692AD}"/>
    <cellStyle name="Normal 5 2 2 2 2 5 2 3" xfId="11976" xr:uid="{4792532C-B568-4D78-B9A4-B38808DE32E2}"/>
    <cellStyle name="Normal 5 2 2 2 2 5 3" xfId="5610" xr:uid="{00000000-0005-0000-0000-00003C170000}"/>
    <cellStyle name="Normal 5 2 2 2 2 5 3 2" xfId="14049" xr:uid="{EDE270E6-04CB-4447-BDB6-5561A80BCE70}"/>
    <cellStyle name="Normal 5 2 2 2 2 5 4" xfId="9831" xr:uid="{C5687EA2-3218-48AA-8C2C-BA9ECBED97C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16607" xr:uid="{1D26AFB2-529F-421F-9FC3-82E745C0B41E}"/>
    <cellStyle name="Normal 5 2 2 2 2 6 2 3" xfId="12389" xr:uid="{3A617BDE-E9C0-4722-9418-D813699406C0}"/>
    <cellStyle name="Normal 5 2 2 2 2 6 3" xfId="6023" xr:uid="{00000000-0005-0000-0000-000040170000}"/>
    <cellStyle name="Normal 5 2 2 2 2 6 3 2" xfId="14462" xr:uid="{E5EC702E-2F94-4781-AA79-E25FE69451B3}"/>
    <cellStyle name="Normal 5 2 2 2 2 6 4" xfId="10244" xr:uid="{D14ADE7F-563F-4E25-95DA-0F8AAA042338}"/>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17020" xr:uid="{B0966A11-A3C9-4614-A152-1147C22FC305}"/>
    <cellStyle name="Normal 5 2 2 2 2 7 2 3" xfId="12802" xr:uid="{FEB62741-B6F2-4553-BE7A-D0F357DE5D59}"/>
    <cellStyle name="Normal 5 2 2 2 2 7 3" xfId="6436" xr:uid="{00000000-0005-0000-0000-000044170000}"/>
    <cellStyle name="Normal 5 2 2 2 2 7 3 2" xfId="14875" xr:uid="{41681B6B-1D98-4F90-A2E2-79024FBBA34C}"/>
    <cellStyle name="Normal 5 2 2 2 2 7 4" xfId="10657" xr:uid="{EA8DD8C8-65A6-42B5-BE1D-EC954A9A5211}"/>
    <cellStyle name="Normal 5 2 2 2 2 8" xfId="2565" xr:uid="{00000000-0005-0000-0000-000045170000}"/>
    <cellStyle name="Normal 5 2 2 2 2 8 2" xfId="6849" xr:uid="{00000000-0005-0000-0000-000046170000}"/>
    <cellStyle name="Normal 5 2 2 2 2 8 2 2" xfId="15288" xr:uid="{24157422-B10F-4052-BAC2-E9CB833C7F0A}"/>
    <cellStyle name="Normal 5 2 2 2 2 8 3" xfId="11070" xr:uid="{D3382487-FB30-4C38-9A3E-F470EE143137}"/>
    <cellStyle name="Normal 5 2 2 2 2 9" xfId="4784" xr:uid="{00000000-0005-0000-0000-000047170000}"/>
    <cellStyle name="Normal 5 2 2 2 2 9 2" xfId="13223" xr:uid="{C299EA9A-5DE0-4436-B488-E82C722C789B}"/>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5786" xr:uid="{3C9E5091-D611-41E9-8BE5-391380C2B095}"/>
    <cellStyle name="Normal 5 2 2 2 3 2 2 2 3" xfId="11568" xr:uid="{524616B0-E29A-4B69-99C2-076D48D12891}"/>
    <cellStyle name="Normal 5 2 2 2 3 2 2 3" xfId="5202" xr:uid="{00000000-0005-0000-0000-00004D170000}"/>
    <cellStyle name="Normal 5 2 2 2 3 2 2 3 2" xfId="13641" xr:uid="{AF56A1BE-C525-47BB-ABB2-420CAB5FF6A2}"/>
    <cellStyle name="Normal 5 2 2 2 3 2 2 4" xfId="9423" xr:uid="{1D0F639E-81A4-44DD-840A-A974D9AEE7EA}"/>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16199" xr:uid="{B7B54B80-4318-4D4A-A5A5-F4B99DD0EE74}"/>
    <cellStyle name="Normal 5 2 2 2 3 2 3 2 3" xfId="11981" xr:uid="{7C463938-3A8B-41C7-96DF-F365C255B718}"/>
    <cellStyle name="Normal 5 2 2 2 3 2 3 3" xfId="5615" xr:uid="{00000000-0005-0000-0000-000051170000}"/>
    <cellStyle name="Normal 5 2 2 2 3 2 3 3 2" xfId="14054" xr:uid="{23D3D36D-6F36-4114-809B-BB89448EF969}"/>
    <cellStyle name="Normal 5 2 2 2 3 2 3 4" xfId="9836" xr:uid="{B5190063-97EF-4226-A951-17FE68454B69}"/>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16612" xr:uid="{01353415-DCA7-4648-9433-39398E282D3E}"/>
    <cellStyle name="Normal 5 2 2 2 3 2 4 2 3" xfId="12394" xr:uid="{F44CDE38-FE79-4194-B4CB-12826F09D914}"/>
    <cellStyle name="Normal 5 2 2 2 3 2 4 3" xfId="6028" xr:uid="{00000000-0005-0000-0000-000055170000}"/>
    <cellStyle name="Normal 5 2 2 2 3 2 4 3 2" xfId="14467" xr:uid="{585C5DCA-48C4-4DC7-AF1A-12B533FF261E}"/>
    <cellStyle name="Normal 5 2 2 2 3 2 4 4" xfId="10249" xr:uid="{12F44100-4D0C-41F9-92F0-A90691DE0282}"/>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17025" xr:uid="{29422FD0-E555-4C4F-9F40-E7419F58BF1E}"/>
    <cellStyle name="Normal 5 2 2 2 3 2 5 2 3" xfId="12807" xr:uid="{B3585237-5DA7-45EA-867E-EA7FDFC3C112}"/>
    <cellStyle name="Normal 5 2 2 2 3 2 5 3" xfId="6441" xr:uid="{00000000-0005-0000-0000-000059170000}"/>
    <cellStyle name="Normal 5 2 2 2 3 2 5 3 2" xfId="14880" xr:uid="{DF49A8B6-31BE-4A86-A82D-F8ADA2D9F3E9}"/>
    <cellStyle name="Normal 5 2 2 2 3 2 5 4" xfId="10662" xr:uid="{71F6FFBC-9975-49AE-844D-CCFF55B13DC1}"/>
    <cellStyle name="Normal 5 2 2 2 3 2 6" xfId="2570" xr:uid="{00000000-0005-0000-0000-00005A170000}"/>
    <cellStyle name="Normal 5 2 2 2 3 2 6 2" xfId="6854" xr:uid="{00000000-0005-0000-0000-00005B170000}"/>
    <cellStyle name="Normal 5 2 2 2 3 2 6 2 2" xfId="15293" xr:uid="{907BB2B5-59E1-4D42-9629-0F80D593D5A5}"/>
    <cellStyle name="Normal 5 2 2 2 3 2 6 3" xfId="11075" xr:uid="{3F672155-CA59-4E44-978E-C62B073B3B70}"/>
    <cellStyle name="Normal 5 2 2 2 3 2 7" xfId="4789" xr:uid="{00000000-0005-0000-0000-00005C170000}"/>
    <cellStyle name="Normal 5 2 2 2 3 2 7 2" xfId="13228" xr:uid="{39EAC8AF-B0B7-44E3-86D2-C1F1309440A5}"/>
    <cellStyle name="Normal 5 2 2 2 3 2 8" xfId="9010" xr:uid="{45AE7340-6259-464E-A7E4-F292F4A7C93E}"/>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5785" xr:uid="{4EF3F3E9-345E-42F5-BFB1-B35920F8E1E6}"/>
    <cellStyle name="Normal 5 2 2 2 3 3 2 3" xfId="11567" xr:uid="{A07AAA4A-A97C-4944-A7DF-5442395A5113}"/>
    <cellStyle name="Normal 5 2 2 2 3 3 3" xfId="5201" xr:uid="{00000000-0005-0000-0000-000060170000}"/>
    <cellStyle name="Normal 5 2 2 2 3 3 3 2" xfId="13640" xr:uid="{360DBD0A-3332-406B-8502-A506E39AF1A5}"/>
    <cellStyle name="Normal 5 2 2 2 3 3 4" xfId="9422" xr:uid="{9467F809-27CC-46C0-B515-81111FB789F1}"/>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16198" xr:uid="{A50CFB45-55A5-41D6-A752-9264059C9E4E}"/>
    <cellStyle name="Normal 5 2 2 2 3 4 2 3" xfId="11980" xr:uid="{3927AA80-3814-473E-A556-AEC52D56BE25}"/>
    <cellStyle name="Normal 5 2 2 2 3 4 3" xfId="5614" xr:uid="{00000000-0005-0000-0000-000064170000}"/>
    <cellStyle name="Normal 5 2 2 2 3 4 3 2" xfId="14053" xr:uid="{FC982756-7BF6-4475-B16F-25E281C11D2B}"/>
    <cellStyle name="Normal 5 2 2 2 3 4 4" xfId="9835" xr:uid="{EC68555C-2B4B-4D3A-8965-067BA099ABF6}"/>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16611" xr:uid="{D58A8E80-387F-4AF4-A3C2-685778A89F76}"/>
    <cellStyle name="Normal 5 2 2 2 3 5 2 3" xfId="12393" xr:uid="{7D00E0B7-DB81-420E-AEAC-414E628B85D4}"/>
    <cellStyle name="Normal 5 2 2 2 3 5 3" xfId="6027" xr:uid="{00000000-0005-0000-0000-000068170000}"/>
    <cellStyle name="Normal 5 2 2 2 3 5 3 2" xfId="14466" xr:uid="{F12E3E26-0A5A-4D69-98A4-05BE599AD382}"/>
    <cellStyle name="Normal 5 2 2 2 3 5 4" xfId="10248" xr:uid="{6922D6BE-E056-422E-9A15-1F11191B5109}"/>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17024" xr:uid="{170BE5A1-6EA8-4000-AA10-88AE9249293C}"/>
    <cellStyle name="Normal 5 2 2 2 3 6 2 3" xfId="12806" xr:uid="{84DABF75-D725-4ADA-8D4A-F619450ED44E}"/>
    <cellStyle name="Normal 5 2 2 2 3 6 3" xfId="6440" xr:uid="{00000000-0005-0000-0000-00006C170000}"/>
    <cellStyle name="Normal 5 2 2 2 3 6 3 2" xfId="14879" xr:uid="{157C9165-0C3F-4267-B176-26CAF9FEC382}"/>
    <cellStyle name="Normal 5 2 2 2 3 6 4" xfId="10661" xr:uid="{FAC95EE9-F9C2-420A-ADC6-FEEF2E118017}"/>
    <cellStyle name="Normal 5 2 2 2 3 7" xfId="2569" xr:uid="{00000000-0005-0000-0000-00006D170000}"/>
    <cellStyle name="Normal 5 2 2 2 3 7 2" xfId="6853" xr:uid="{00000000-0005-0000-0000-00006E170000}"/>
    <cellStyle name="Normal 5 2 2 2 3 7 2 2" xfId="15292" xr:uid="{E1606495-58BE-4E43-839C-7C279D07E2B6}"/>
    <cellStyle name="Normal 5 2 2 2 3 7 3" xfId="11074" xr:uid="{BE6E4034-BA7C-4F03-A63E-D36EED962C9D}"/>
    <cellStyle name="Normal 5 2 2 2 3 8" xfId="4788" xr:uid="{00000000-0005-0000-0000-00006F170000}"/>
    <cellStyle name="Normal 5 2 2 2 3 8 2" xfId="13227" xr:uid="{6D526D25-159E-420C-AA30-142C7B049535}"/>
    <cellStyle name="Normal 5 2 2 2 3 9" xfId="9009" xr:uid="{4CF7E7AA-4758-4632-AC86-654C864B9D96}"/>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5787" xr:uid="{73765817-0CF9-4403-A87B-A7DEE6C439E2}"/>
    <cellStyle name="Normal 5 2 2 2 4 2 2 3" xfId="11569" xr:uid="{1ABDEE57-9A72-4722-A77A-13981737BE41}"/>
    <cellStyle name="Normal 5 2 2 2 4 2 3" xfId="5203" xr:uid="{00000000-0005-0000-0000-000074170000}"/>
    <cellStyle name="Normal 5 2 2 2 4 2 3 2" xfId="13642" xr:uid="{1BFC51B1-4500-4045-B8DA-29397668AE9E}"/>
    <cellStyle name="Normal 5 2 2 2 4 2 4" xfId="9424" xr:uid="{6B66EDC9-31DB-4283-8DAB-735CD203A8F4}"/>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16200" xr:uid="{1276BEEA-684E-4877-AF71-CEBD8F8899FE}"/>
    <cellStyle name="Normal 5 2 2 2 4 3 2 3" xfId="11982" xr:uid="{AB7041DA-FE07-4E65-972C-5EA1710A3E90}"/>
    <cellStyle name="Normal 5 2 2 2 4 3 3" xfId="5616" xr:uid="{00000000-0005-0000-0000-000078170000}"/>
    <cellStyle name="Normal 5 2 2 2 4 3 3 2" xfId="14055" xr:uid="{BE1F4E4A-A900-49C9-97C6-DF01047232B2}"/>
    <cellStyle name="Normal 5 2 2 2 4 3 4" xfId="9837" xr:uid="{667E484E-A24A-4467-8850-02F31DE254C2}"/>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16613" xr:uid="{0F661208-89AF-4B1A-95E6-F2F26C79C3D4}"/>
    <cellStyle name="Normal 5 2 2 2 4 4 2 3" xfId="12395" xr:uid="{8FC6FCBC-8F9B-4367-983A-012409F46FA6}"/>
    <cellStyle name="Normal 5 2 2 2 4 4 3" xfId="6029" xr:uid="{00000000-0005-0000-0000-00007C170000}"/>
    <cellStyle name="Normal 5 2 2 2 4 4 3 2" xfId="14468" xr:uid="{07D1E409-5C7C-4452-8013-9D51EEBD5226}"/>
    <cellStyle name="Normal 5 2 2 2 4 4 4" xfId="10250" xr:uid="{111BA58B-4934-47CC-B268-F6C5F05C6798}"/>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17026" xr:uid="{627F7AE1-99D4-4186-AEF4-BCE6746D7D73}"/>
    <cellStyle name="Normal 5 2 2 2 4 5 2 3" xfId="12808" xr:uid="{0965A1F2-B5C0-421E-9B6F-32904813235C}"/>
    <cellStyle name="Normal 5 2 2 2 4 5 3" xfId="6442" xr:uid="{00000000-0005-0000-0000-000080170000}"/>
    <cellStyle name="Normal 5 2 2 2 4 5 3 2" xfId="14881" xr:uid="{7BA8D6CA-79E6-4224-8164-08DAB6FD8C2A}"/>
    <cellStyle name="Normal 5 2 2 2 4 5 4" xfId="10663" xr:uid="{B87A13C5-8672-42B6-9778-C7DDAB6D8008}"/>
    <cellStyle name="Normal 5 2 2 2 4 6" xfId="2571" xr:uid="{00000000-0005-0000-0000-000081170000}"/>
    <cellStyle name="Normal 5 2 2 2 4 6 2" xfId="6855" xr:uid="{00000000-0005-0000-0000-000082170000}"/>
    <cellStyle name="Normal 5 2 2 2 4 6 2 2" xfId="15294" xr:uid="{7B72B7CD-1272-4F09-82B3-AC8DA51C1D22}"/>
    <cellStyle name="Normal 5 2 2 2 4 6 3" xfId="11076" xr:uid="{C1863A52-28AE-4318-A3B6-BA3900DB8EF7}"/>
    <cellStyle name="Normal 5 2 2 2 4 7" xfId="4790" xr:uid="{00000000-0005-0000-0000-000083170000}"/>
    <cellStyle name="Normal 5 2 2 2 4 7 2" xfId="13229" xr:uid="{1B0D0ACD-D36D-49CB-8503-1D4098289629}"/>
    <cellStyle name="Normal 5 2 2 2 4 8" xfId="9011" xr:uid="{186ED36B-623C-40BD-BAB2-54A0A838250F}"/>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5780" xr:uid="{0798EF4D-3F35-4FB3-9002-11B27E4CB11E}"/>
    <cellStyle name="Normal 5 2 2 2 5 2 3" xfId="11562" xr:uid="{0F43BFA7-4A7A-4A95-AFAE-21E8645C855A}"/>
    <cellStyle name="Normal 5 2 2 2 5 3" xfId="5196" xr:uid="{00000000-0005-0000-0000-000087170000}"/>
    <cellStyle name="Normal 5 2 2 2 5 3 2" xfId="13635" xr:uid="{50427A0C-8541-47F9-8980-D2F399DBB573}"/>
    <cellStyle name="Normal 5 2 2 2 5 4" xfId="9417" xr:uid="{70787E94-A666-4080-AE5F-FB4843CD5F34}"/>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16193" xr:uid="{55C2D120-C489-4A3F-A87B-54590CDE7D7D}"/>
    <cellStyle name="Normal 5 2 2 2 6 2 3" xfId="11975" xr:uid="{00734CA2-0E53-46C6-9944-87D332596BB9}"/>
    <cellStyle name="Normal 5 2 2 2 6 3" xfId="5609" xr:uid="{00000000-0005-0000-0000-00008B170000}"/>
    <cellStyle name="Normal 5 2 2 2 6 3 2" xfId="14048" xr:uid="{40B1C994-6D7D-48DC-B04D-561204B876F5}"/>
    <cellStyle name="Normal 5 2 2 2 6 4" xfId="9830" xr:uid="{191D3DD6-4746-42DC-AD78-71B3CEA1560C}"/>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16606" xr:uid="{CCAB3B2F-06D6-44D4-9993-6E28FAF46929}"/>
    <cellStyle name="Normal 5 2 2 2 7 2 3" xfId="12388" xr:uid="{FA628B49-C93F-4637-8FAB-CEDE81CDF47A}"/>
    <cellStyle name="Normal 5 2 2 2 7 3" xfId="6022" xr:uid="{00000000-0005-0000-0000-00008F170000}"/>
    <cellStyle name="Normal 5 2 2 2 7 3 2" xfId="14461" xr:uid="{EBADDAFC-0C12-4117-A7FC-4AFB3C4B4D3A}"/>
    <cellStyle name="Normal 5 2 2 2 7 4" xfId="10243" xr:uid="{C2792883-0E79-4780-8662-469D902E7C99}"/>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17019" xr:uid="{9C0BB108-F142-4804-804A-24C3F3E3D075}"/>
    <cellStyle name="Normal 5 2 2 2 8 2 3" xfId="12801" xr:uid="{5336F3AE-535C-4751-B567-AE655C48B4CE}"/>
    <cellStyle name="Normal 5 2 2 2 8 3" xfId="6435" xr:uid="{00000000-0005-0000-0000-000093170000}"/>
    <cellStyle name="Normal 5 2 2 2 8 3 2" xfId="14874" xr:uid="{D9FF5BDB-A922-4C13-AAD3-B89A10F378A7}"/>
    <cellStyle name="Normal 5 2 2 2 8 4" xfId="10656" xr:uid="{7B66F848-6A06-41D1-9D78-5F31236B3238}"/>
    <cellStyle name="Normal 5 2 2 2 9" xfId="2564" xr:uid="{00000000-0005-0000-0000-000094170000}"/>
    <cellStyle name="Normal 5 2 2 2 9 2" xfId="6848" xr:uid="{00000000-0005-0000-0000-000095170000}"/>
    <cellStyle name="Normal 5 2 2 2 9 2 2" xfId="15287" xr:uid="{A157EE55-4F5A-4F6E-9C79-45E48BA725F8}"/>
    <cellStyle name="Normal 5 2 2 2 9 3" xfId="11069" xr:uid="{DBE5247A-5484-4524-B0FA-8815F457BE27}"/>
    <cellStyle name="Normal 5 2 2 3" xfId="417" xr:uid="{00000000-0005-0000-0000-000096170000}"/>
    <cellStyle name="Normal 5 2 2 3 10" xfId="9012" xr:uid="{940D1E1B-05BA-43B5-9261-E9F27C64E24F}"/>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5790" xr:uid="{8B09B160-520A-4862-9EFF-01B1580A979C}"/>
    <cellStyle name="Normal 5 2 2 3 2 2 2 2 3" xfId="11572" xr:uid="{F6CC7718-C938-4BE2-A2E9-C89E5472BADD}"/>
    <cellStyle name="Normal 5 2 2 3 2 2 2 3" xfId="5206" xr:uid="{00000000-0005-0000-0000-00009C170000}"/>
    <cellStyle name="Normal 5 2 2 3 2 2 2 3 2" xfId="13645" xr:uid="{3F5074A9-F95F-40D8-845F-EC3EC04EF8AD}"/>
    <cellStyle name="Normal 5 2 2 3 2 2 2 4" xfId="9427" xr:uid="{14BA5C36-3051-4041-ABE6-C6368E18E083}"/>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16203" xr:uid="{DF7F9904-7D57-4DA7-8F24-DA7301E0775C}"/>
    <cellStyle name="Normal 5 2 2 3 2 2 3 2 3" xfId="11985" xr:uid="{D5A79F91-5BC3-4426-926B-62F938A3764B}"/>
    <cellStyle name="Normal 5 2 2 3 2 2 3 3" xfId="5619" xr:uid="{00000000-0005-0000-0000-0000A0170000}"/>
    <cellStyle name="Normal 5 2 2 3 2 2 3 3 2" xfId="14058" xr:uid="{2329AB57-1521-4F7F-B0E3-E9B421EB628C}"/>
    <cellStyle name="Normal 5 2 2 3 2 2 3 4" xfId="9840" xr:uid="{3D488A65-0BB2-4F1A-BDB2-5C160911C7C8}"/>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16616" xr:uid="{1C9F5746-2AFE-437C-8149-DA3BF8456BF0}"/>
    <cellStyle name="Normal 5 2 2 3 2 2 4 2 3" xfId="12398" xr:uid="{CB838084-7A61-47C3-887C-4EF7D309E7D7}"/>
    <cellStyle name="Normal 5 2 2 3 2 2 4 3" xfId="6032" xr:uid="{00000000-0005-0000-0000-0000A4170000}"/>
    <cellStyle name="Normal 5 2 2 3 2 2 4 3 2" xfId="14471" xr:uid="{658BD0C7-1E66-489E-875F-27CC65BBFE9F}"/>
    <cellStyle name="Normal 5 2 2 3 2 2 4 4" xfId="10253" xr:uid="{B002CAF9-9817-4D61-B822-4FAE7A09F969}"/>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17029" xr:uid="{8E7E6038-0D8F-4DA8-800A-BFC6BCECDC89}"/>
    <cellStyle name="Normal 5 2 2 3 2 2 5 2 3" xfId="12811" xr:uid="{A565D70B-FDE9-40C5-9871-07596EBAE32F}"/>
    <cellStyle name="Normal 5 2 2 3 2 2 5 3" xfId="6445" xr:uid="{00000000-0005-0000-0000-0000A8170000}"/>
    <cellStyle name="Normal 5 2 2 3 2 2 5 3 2" xfId="14884" xr:uid="{C0DBF12D-E5F6-4BEC-8238-78B812B57BD5}"/>
    <cellStyle name="Normal 5 2 2 3 2 2 5 4" xfId="10666" xr:uid="{A260F51B-9125-41D7-BEBA-B7FDE3B88BC1}"/>
    <cellStyle name="Normal 5 2 2 3 2 2 6" xfId="2574" xr:uid="{00000000-0005-0000-0000-0000A9170000}"/>
    <cellStyle name="Normal 5 2 2 3 2 2 6 2" xfId="6858" xr:uid="{00000000-0005-0000-0000-0000AA170000}"/>
    <cellStyle name="Normal 5 2 2 3 2 2 6 2 2" xfId="15297" xr:uid="{550BDB51-EAF3-454A-B712-8BCCD507F693}"/>
    <cellStyle name="Normal 5 2 2 3 2 2 6 3" xfId="11079" xr:uid="{A2F6CCE1-B797-41FA-9AE3-04AABBD43DBE}"/>
    <cellStyle name="Normal 5 2 2 3 2 2 7" xfId="4793" xr:uid="{00000000-0005-0000-0000-0000AB170000}"/>
    <cellStyle name="Normal 5 2 2 3 2 2 7 2" xfId="13232" xr:uid="{DE33C6AC-77EA-4047-832F-077CE1E74AA2}"/>
    <cellStyle name="Normal 5 2 2 3 2 2 8" xfId="9014" xr:uid="{BB141963-0B71-4016-9E82-43186A34AE0A}"/>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5789" xr:uid="{64985246-F35B-4518-BA18-535C1F833427}"/>
    <cellStyle name="Normal 5 2 2 3 2 3 2 3" xfId="11571" xr:uid="{4BE7BDD8-60F8-4C63-9EB2-915D231A8E06}"/>
    <cellStyle name="Normal 5 2 2 3 2 3 3" xfId="5205" xr:uid="{00000000-0005-0000-0000-0000AF170000}"/>
    <cellStyle name="Normal 5 2 2 3 2 3 3 2" xfId="13644" xr:uid="{D3286581-4238-4F9A-8D02-2DA8A91AA50D}"/>
    <cellStyle name="Normal 5 2 2 3 2 3 4" xfId="9426" xr:uid="{0A140329-43BD-454B-ABC6-44FE5FEA44A6}"/>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16202" xr:uid="{5F4BE0FB-6495-497F-BFFB-4095E4353C69}"/>
    <cellStyle name="Normal 5 2 2 3 2 4 2 3" xfId="11984" xr:uid="{611D9142-39AA-40C8-969B-C5A8C78A6E9A}"/>
    <cellStyle name="Normal 5 2 2 3 2 4 3" xfId="5618" xr:uid="{00000000-0005-0000-0000-0000B3170000}"/>
    <cellStyle name="Normal 5 2 2 3 2 4 3 2" xfId="14057" xr:uid="{F365F979-7CA0-4C6D-9CAD-7A0790B65A7A}"/>
    <cellStyle name="Normal 5 2 2 3 2 4 4" xfId="9839" xr:uid="{404AB64B-508D-4AF0-BE6E-FA016948BD9A}"/>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16615" xr:uid="{6A99FC96-2AE4-47FB-97D7-E92A22FB6190}"/>
    <cellStyle name="Normal 5 2 2 3 2 5 2 3" xfId="12397" xr:uid="{64086169-A7EE-4BFA-A466-7FADC8359B1E}"/>
    <cellStyle name="Normal 5 2 2 3 2 5 3" xfId="6031" xr:uid="{00000000-0005-0000-0000-0000B7170000}"/>
    <cellStyle name="Normal 5 2 2 3 2 5 3 2" xfId="14470" xr:uid="{3E17717B-B8EB-4B9D-BA09-061C2F9C82DD}"/>
    <cellStyle name="Normal 5 2 2 3 2 5 4" xfId="10252" xr:uid="{B0F0C7D4-6053-46BE-9224-1692D2B0EEAE}"/>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17028" xr:uid="{32740B3E-04AA-4303-9248-85568FAE9B93}"/>
    <cellStyle name="Normal 5 2 2 3 2 6 2 3" xfId="12810" xr:uid="{51B4F3B4-F401-4AB6-A5D9-B6E0A5311348}"/>
    <cellStyle name="Normal 5 2 2 3 2 6 3" xfId="6444" xr:uid="{00000000-0005-0000-0000-0000BB170000}"/>
    <cellStyle name="Normal 5 2 2 3 2 6 3 2" xfId="14883" xr:uid="{3BF4DBBE-9D86-4A76-B38B-A53814EF1DF3}"/>
    <cellStyle name="Normal 5 2 2 3 2 6 4" xfId="10665" xr:uid="{BACDECE7-842B-4CCD-B94D-2CB0A92AD0BB}"/>
    <cellStyle name="Normal 5 2 2 3 2 7" xfId="2573" xr:uid="{00000000-0005-0000-0000-0000BC170000}"/>
    <cellStyle name="Normal 5 2 2 3 2 7 2" xfId="6857" xr:uid="{00000000-0005-0000-0000-0000BD170000}"/>
    <cellStyle name="Normal 5 2 2 3 2 7 2 2" xfId="15296" xr:uid="{52175102-1A00-4E55-9C42-2CED2C7F8AF9}"/>
    <cellStyle name="Normal 5 2 2 3 2 7 3" xfId="11078" xr:uid="{79FECFCA-7FF2-401A-990F-A52D182923E1}"/>
    <cellStyle name="Normal 5 2 2 3 2 8" xfId="4792" xr:uid="{00000000-0005-0000-0000-0000BE170000}"/>
    <cellStyle name="Normal 5 2 2 3 2 8 2" xfId="13231" xr:uid="{524CC281-C18E-43F5-A4AC-6F4D2C8879E7}"/>
    <cellStyle name="Normal 5 2 2 3 2 9" xfId="9013" xr:uid="{DDB28EC2-C8D6-4FBE-A8FE-2F283AD66D72}"/>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5791" xr:uid="{43172A7C-4D74-44D0-8FE0-C024543ED264}"/>
    <cellStyle name="Normal 5 2 2 3 3 2 2 3" xfId="11573" xr:uid="{B5083BE4-13B6-4A30-9460-C46DD40B5119}"/>
    <cellStyle name="Normal 5 2 2 3 3 2 3" xfId="5207" xr:uid="{00000000-0005-0000-0000-0000C3170000}"/>
    <cellStyle name="Normal 5 2 2 3 3 2 3 2" xfId="13646" xr:uid="{0614B12C-29A2-4A51-A3C4-27BD3FE4F079}"/>
    <cellStyle name="Normal 5 2 2 3 3 2 4" xfId="9428" xr:uid="{4C0F9AFE-2074-4E4B-9BE2-B146155CDDA3}"/>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16204" xr:uid="{6744021B-E45A-401E-B640-3241C50F0E38}"/>
    <cellStyle name="Normal 5 2 2 3 3 3 2 3" xfId="11986" xr:uid="{6609F108-18FC-4866-841F-658369F5C8EF}"/>
    <cellStyle name="Normal 5 2 2 3 3 3 3" xfId="5620" xr:uid="{00000000-0005-0000-0000-0000C7170000}"/>
    <cellStyle name="Normal 5 2 2 3 3 3 3 2" xfId="14059" xr:uid="{C299FFB5-59E4-406C-841E-7AF759935E38}"/>
    <cellStyle name="Normal 5 2 2 3 3 3 4" xfId="9841" xr:uid="{08C4A838-7BBF-450F-A281-43F3E09C1AAE}"/>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16617" xr:uid="{30040CA0-0F6B-4672-859A-1DC06AA1972A}"/>
    <cellStyle name="Normal 5 2 2 3 3 4 2 3" xfId="12399" xr:uid="{62BCAE69-982F-42E3-A02D-DC97B307BC09}"/>
    <cellStyle name="Normal 5 2 2 3 3 4 3" xfId="6033" xr:uid="{00000000-0005-0000-0000-0000CB170000}"/>
    <cellStyle name="Normal 5 2 2 3 3 4 3 2" xfId="14472" xr:uid="{281E28E3-DE83-4B58-8230-D6C98BC97971}"/>
    <cellStyle name="Normal 5 2 2 3 3 4 4" xfId="10254" xr:uid="{6B0B633A-2538-460F-A036-C312F024D6FF}"/>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17030" xr:uid="{E5EAED32-F9A9-402E-821C-DF86DCB99356}"/>
    <cellStyle name="Normal 5 2 2 3 3 5 2 3" xfId="12812" xr:uid="{B33D8C81-A5E3-482E-9495-CE94ADC7110A}"/>
    <cellStyle name="Normal 5 2 2 3 3 5 3" xfId="6446" xr:uid="{00000000-0005-0000-0000-0000CF170000}"/>
    <cellStyle name="Normal 5 2 2 3 3 5 3 2" xfId="14885" xr:uid="{540A2285-8587-4515-837D-E399E316EB20}"/>
    <cellStyle name="Normal 5 2 2 3 3 5 4" xfId="10667" xr:uid="{393DC88F-251F-40FA-83FB-2617FD109907}"/>
    <cellStyle name="Normal 5 2 2 3 3 6" xfId="2575" xr:uid="{00000000-0005-0000-0000-0000D0170000}"/>
    <cellStyle name="Normal 5 2 2 3 3 6 2" xfId="6859" xr:uid="{00000000-0005-0000-0000-0000D1170000}"/>
    <cellStyle name="Normal 5 2 2 3 3 6 2 2" xfId="15298" xr:uid="{B81CFA01-9F8C-4F14-88A9-1980671F4539}"/>
    <cellStyle name="Normal 5 2 2 3 3 6 3" xfId="11080" xr:uid="{F2FB0C7B-9701-4F5D-B2E3-F4452119D1F3}"/>
    <cellStyle name="Normal 5 2 2 3 3 7" xfId="4794" xr:uid="{00000000-0005-0000-0000-0000D2170000}"/>
    <cellStyle name="Normal 5 2 2 3 3 7 2" xfId="13233" xr:uid="{7A29E4FC-ABEE-414F-AD27-7AEE1CBC8BAB}"/>
    <cellStyle name="Normal 5 2 2 3 3 8" xfId="9015" xr:uid="{2662AE05-11A9-40F5-8742-4FB02C61478B}"/>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5788" xr:uid="{F48A3B7F-5B14-4493-AC7A-4F3B2BEC91B0}"/>
    <cellStyle name="Normal 5 2 2 3 4 2 3" xfId="11570" xr:uid="{32DB413F-DBF2-4D59-9D8F-5F236CFF949F}"/>
    <cellStyle name="Normal 5 2 2 3 4 3" xfId="5204" xr:uid="{00000000-0005-0000-0000-0000D6170000}"/>
    <cellStyle name="Normal 5 2 2 3 4 3 2" xfId="13643" xr:uid="{489CF794-1AE3-4D34-9321-27319B6CE36D}"/>
    <cellStyle name="Normal 5 2 2 3 4 4" xfId="9425" xr:uid="{407B3A98-A6F5-49A6-83EE-DFDC7A55C8BC}"/>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16201" xr:uid="{C37326B8-9E55-4367-8040-74CDA0D75D30}"/>
    <cellStyle name="Normal 5 2 2 3 5 2 3" xfId="11983" xr:uid="{EA45D6FC-28D8-4EB5-8527-9F1FE5579916}"/>
    <cellStyle name="Normal 5 2 2 3 5 3" xfId="5617" xr:uid="{00000000-0005-0000-0000-0000DA170000}"/>
    <cellStyle name="Normal 5 2 2 3 5 3 2" xfId="14056" xr:uid="{D5B575EA-51AE-48A0-882E-0063610C7636}"/>
    <cellStyle name="Normal 5 2 2 3 5 4" xfId="9838" xr:uid="{A9ED285D-92B0-4354-A050-EED06FD5F089}"/>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16614" xr:uid="{E7C60B51-FD09-4CC4-8C18-DDB03CA84DCF}"/>
    <cellStyle name="Normal 5 2 2 3 6 2 3" xfId="12396" xr:uid="{DC76427B-1F8F-44EC-9BD3-CBA6021A8EB7}"/>
    <cellStyle name="Normal 5 2 2 3 6 3" xfId="6030" xr:uid="{00000000-0005-0000-0000-0000DE170000}"/>
    <cellStyle name="Normal 5 2 2 3 6 3 2" xfId="14469" xr:uid="{91C41162-869D-4020-964A-929960A1C28E}"/>
    <cellStyle name="Normal 5 2 2 3 6 4" xfId="10251" xr:uid="{517C149D-0851-4238-A43C-8161B5855358}"/>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17027" xr:uid="{9F3FC091-035B-486E-ACB2-E3CCF6023300}"/>
    <cellStyle name="Normal 5 2 2 3 7 2 3" xfId="12809" xr:uid="{6B82D646-A8E7-4A18-BF3B-44C1FC612FBE}"/>
    <cellStyle name="Normal 5 2 2 3 7 3" xfId="6443" xr:uid="{00000000-0005-0000-0000-0000E2170000}"/>
    <cellStyle name="Normal 5 2 2 3 7 3 2" xfId="14882" xr:uid="{128CF350-689C-4761-B396-15D3895F60BE}"/>
    <cellStyle name="Normal 5 2 2 3 7 4" xfId="10664" xr:uid="{D959DB90-281E-4C29-A691-5748507F2FC8}"/>
    <cellStyle name="Normal 5 2 2 3 8" xfId="2572" xr:uid="{00000000-0005-0000-0000-0000E3170000}"/>
    <cellStyle name="Normal 5 2 2 3 8 2" xfId="6856" xr:uid="{00000000-0005-0000-0000-0000E4170000}"/>
    <cellStyle name="Normal 5 2 2 3 8 2 2" xfId="15295" xr:uid="{2E5D4843-02AF-419C-B1AF-0088FAE7E05F}"/>
    <cellStyle name="Normal 5 2 2 3 8 3" xfId="11077" xr:uid="{6A3F257D-9B21-4451-BB3B-C9A7EA9DEEC7}"/>
    <cellStyle name="Normal 5 2 2 3 9" xfId="4791" xr:uid="{00000000-0005-0000-0000-0000E5170000}"/>
    <cellStyle name="Normal 5 2 2 3 9 2" xfId="13230" xr:uid="{EDB0BEA5-5B21-484A-8AD3-40F7C0C102D3}"/>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5793" xr:uid="{D207672A-680E-40D5-94A2-BBA590E356FE}"/>
    <cellStyle name="Normal 5 2 2 4 2 2 2 3" xfId="11575" xr:uid="{782A6BDD-E7C3-47C5-98A4-647D0CAF585F}"/>
    <cellStyle name="Normal 5 2 2 4 2 2 3" xfId="5209" xr:uid="{00000000-0005-0000-0000-0000EB170000}"/>
    <cellStyle name="Normal 5 2 2 4 2 2 3 2" xfId="13648" xr:uid="{758F118A-7EDD-4B3C-8CEE-08DE44D8240D}"/>
    <cellStyle name="Normal 5 2 2 4 2 2 4" xfId="9430" xr:uid="{41BD5283-E2F1-4675-8BEF-27AF9956F046}"/>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16206" xr:uid="{0C7A4BF8-9CD1-4DF0-B274-900630BF314D}"/>
    <cellStyle name="Normal 5 2 2 4 2 3 2 3" xfId="11988" xr:uid="{07F0C5B3-7247-4568-836A-1F12F847CF40}"/>
    <cellStyle name="Normal 5 2 2 4 2 3 3" xfId="5622" xr:uid="{00000000-0005-0000-0000-0000EF170000}"/>
    <cellStyle name="Normal 5 2 2 4 2 3 3 2" xfId="14061" xr:uid="{B4B6E06A-4CB4-46F8-9E2A-170628F522A1}"/>
    <cellStyle name="Normal 5 2 2 4 2 3 4" xfId="9843" xr:uid="{71850EE3-5E14-488D-BC0A-49B14D5A87AC}"/>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16619" xr:uid="{10311142-8726-4CFD-8056-E23FAE4A228A}"/>
    <cellStyle name="Normal 5 2 2 4 2 4 2 3" xfId="12401" xr:uid="{6FC944AD-E673-44D5-9949-ED978504A0B2}"/>
    <cellStyle name="Normal 5 2 2 4 2 4 3" xfId="6035" xr:uid="{00000000-0005-0000-0000-0000F3170000}"/>
    <cellStyle name="Normal 5 2 2 4 2 4 3 2" xfId="14474" xr:uid="{41285FA6-F617-488F-857D-4A85E8BA57C8}"/>
    <cellStyle name="Normal 5 2 2 4 2 4 4" xfId="10256" xr:uid="{801706BF-D8C5-4CF0-94F9-47860B9C6E92}"/>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17032" xr:uid="{05818317-B2F6-4AD2-BC21-AFDEB987675D}"/>
    <cellStyle name="Normal 5 2 2 4 2 5 2 3" xfId="12814" xr:uid="{11E30D5A-BAC6-4CF9-98FC-0E11E3464674}"/>
    <cellStyle name="Normal 5 2 2 4 2 5 3" xfId="6448" xr:uid="{00000000-0005-0000-0000-0000F7170000}"/>
    <cellStyle name="Normal 5 2 2 4 2 5 3 2" xfId="14887" xr:uid="{38C71B61-7134-40B6-B217-764C570B8B9F}"/>
    <cellStyle name="Normal 5 2 2 4 2 5 4" xfId="10669" xr:uid="{1C88A3C1-DD28-495C-8943-29EEE55FE001}"/>
    <cellStyle name="Normal 5 2 2 4 2 6" xfId="2577" xr:uid="{00000000-0005-0000-0000-0000F8170000}"/>
    <cellStyle name="Normal 5 2 2 4 2 6 2" xfId="6861" xr:uid="{00000000-0005-0000-0000-0000F9170000}"/>
    <cellStyle name="Normal 5 2 2 4 2 6 2 2" xfId="15300" xr:uid="{A66039B3-6344-4B5F-8256-617C18ABB0F6}"/>
    <cellStyle name="Normal 5 2 2 4 2 6 3" xfId="11082" xr:uid="{CB9954B6-E6D7-4D8B-BD4E-4E88B42B76F0}"/>
    <cellStyle name="Normal 5 2 2 4 2 7" xfId="4796" xr:uid="{00000000-0005-0000-0000-0000FA170000}"/>
    <cellStyle name="Normal 5 2 2 4 2 7 2" xfId="13235" xr:uid="{A9C40EE4-03DB-4AB5-B77F-9CC20AFA5EBC}"/>
    <cellStyle name="Normal 5 2 2 4 2 8" xfId="9017" xr:uid="{2462AD3E-73D4-4707-98B1-9BF175958298}"/>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5792" xr:uid="{8A487C60-0E33-4B44-BD8A-88873E20224A}"/>
    <cellStyle name="Normal 5 2 2 4 3 2 3" xfId="11574" xr:uid="{88BD1496-D0F3-43DE-9DF0-D305BD880159}"/>
    <cellStyle name="Normal 5 2 2 4 3 3" xfId="5208" xr:uid="{00000000-0005-0000-0000-0000FE170000}"/>
    <cellStyle name="Normal 5 2 2 4 3 3 2" xfId="13647" xr:uid="{1F7045B8-FE42-4E62-8CE2-A5D1E357760B}"/>
    <cellStyle name="Normal 5 2 2 4 3 4" xfId="9429" xr:uid="{6457F29E-6328-446B-98D0-FF9778E7D2E4}"/>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16205" xr:uid="{30BE2084-2C3C-43CA-8F71-9A28361ECA36}"/>
    <cellStyle name="Normal 5 2 2 4 4 2 3" xfId="11987" xr:uid="{1A14D7EE-0119-4B11-B61B-9CB33FA9031C}"/>
    <cellStyle name="Normal 5 2 2 4 4 3" xfId="5621" xr:uid="{00000000-0005-0000-0000-000002180000}"/>
    <cellStyle name="Normal 5 2 2 4 4 3 2" xfId="14060" xr:uid="{FA72BFF0-C6B4-45CC-B930-448D915BFA1B}"/>
    <cellStyle name="Normal 5 2 2 4 4 4" xfId="9842" xr:uid="{5135E1DA-CDDA-47B8-AEB2-97B768FCF5E7}"/>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16618" xr:uid="{15640D73-E67D-4E88-A805-DE5CE7FF97BD}"/>
    <cellStyle name="Normal 5 2 2 4 5 2 3" xfId="12400" xr:uid="{816BF1DD-8DED-44CC-8C3C-FD98AF85F7D3}"/>
    <cellStyle name="Normal 5 2 2 4 5 3" xfId="6034" xr:uid="{00000000-0005-0000-0000-000006180000}"/>
    <cellStyle name="Normal 5 2 2 4 5 3 2" xfId="14473" xr:uid="{95C1BFD5-CA51-4E43-A713-40185DBE0125}"/>
    <cellStyle name="Normal 5 2 2 4 5 4" xfId="10255" xr:uid="{60753647-B451-4A71-AE06-A3E55F339DC6}"/>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17031" xr:uid="{1A849BF8-A082-455C-9910-52642B1B791F}"/>
    <cellStyle name="Normal 5 2 2 4 6 2 3" xfId="12813" xr:uid="{92D05F0D-5DC8-4B1C-A8E2-146CFD6B750F}"/>
    <cellStyle name="Normal 5 2 2 4 6 3" xfId="6447" xr:uid="{00000000-0005-0000-0000-00000A180000}"/>
    <cellStyle name="Normal 5 2 2 4 6 3 2" xfId="14886" xr:uid="{D3B09155-424F-4357-9F72-2DF7D0738823}"/>
    <cellStyle name="Normal 5 2 2 4 6 4" xfId="10668" xr:uid="{43F77362-2F2B-4EFE-83BD-75921BF0B6B7}"/>
    <cellStyle name="Normal 5 2 2 4 7" xfId="2576" xr:uid="{00000000-0005-0000-0000-00000B180000}"/>
    <cellStyle name="Normal 5 2 2 4 7 2" xfId="6860" xr:uid="{00000000-0005-0000-0000-00000C180000}"/>
    <cellStyle name="Normal 5 2 2 4 7 2 2" xfId="15299" xr:uid="{A847F79E-0A0E-49F8-BACC-58F13C3C2F95}"/>
    <cellStyle name="Normal 5 2 2 4 7 3" xfId="11081" xr:uid="{0AC26BEB-6117-4D91-9585-1AAA83D96A36}"/>
    <cellStyle name="Normal 5 2 2 4 8" xfId="4795" xr:uid="{00000000-0005-0000-0000-00000D180000}"/>
    <cellStyle name="Normal 5 2 2 4 8 2" xfId="13234" xr:uid="{94B4DD84-67E7-4D3A-AB39-FE798A1862C0}"/>
    <cellStyle name="Normal 5 2 2 4 9" xfId="9016" xr:uid="{FAA05086-E0A7-43B8-998A-095D06D7F37B}"/>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5794" xr:uid="{0F30363B-FD25-4FCE-B4CB-56ABB1FF766A}"/>
    <cellStyle name="Normal 5 2 2 5 2 2 3" xfId="11576" xr:uid="{14FA20EB-9243-4C2F-9698-F501A59C933C}"/>
    <cellStyle name="Normal 5 2 2 5 2 3" xfId="5210" xr:uid="{00000000-0005-0000-0000-000012180000}"/>
    <cellStyle name="Normal 5 2 2 5 2 3 2" xfId="13649" xr:uid="{053F8EF9-CC5B-44E6-AB68-D1599DFB86DD}"/>
    <cellStyle name="Normal 5 2 2 5 2 4" xfId="9431" xr:uid="{5A3E61F9-B781-41DC-9108-DF64A15150FA}"/>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16207" xr:uid="{8D252D6D-9970-43AB-8987-0C035BE3212B}"/>
    <cellStyle name="Normal 5 2 2 5 3 2 3" xfId="11989" xr:uid="{5DFCA138-D102-4619-A683-E6BDED2CC3FD}"/>
    <cellStyle name="Normal 5 2 2 5 3 3" xfId="5623" xr:uid="{00000000-0005-0000-0000-000016180000}"/>
    <cellStyle name="Normal 5 2 2 5 3 3 2" xfId="14062" xr:uid="{6291FF45-8314-4504-9077-1FFF6EB91E6D}"/>
    <cellStyle name="Normal 5 2 2 5 3 4" xfId="9844" xr:uid="{799B5386-E807-4A0E-8071-3A5AA4BA4D5E}"/>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16620" xr:uid="{EB61AC97-0D02-4694-B1D4-69386E064127}"/>
    <cellStyle name="Normal 5 2 2 5 4 2 3" xfId="12402" xr:uid="{459B6979-E004-439A-88E3-7FF0BE1ADD67}"/>
    <cellStyle name="Normal 5 2 2 5 4 3" xfId="6036" xr:uid="{00000000-0005-0000-0000-00001A180000}"/>
    <cellStyle name="Normal 5 2 2 5 4 3 2" xfId="14475" xr:uid="{7FF14839-7F8A-4B28-AE4A-B0B2DA7F2318}"/>
    <cellStyle name="Normal 5 2 2 5 4 4" xfId="10257" xr:uid="{676B82E6-4133-4A50-9460-582379236039}"/>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17033" xr:uid="{A494C90C-8488-4EB1-94DB-B9A7FCEE0DA2}"/>
    <cellStyle name="Normal 5 2 2 5 5 2 3" xfId="12815" xr:uid="{881D803B-756F-44EF-84B7-29D8A2189E63}"/>
    <cellStyle name="Normal 5 2 2 5 5 3" xfId="6449" xr:uid="{00000000-0005-0000-0000-00001E180000}"/>
    <cellStyle name="Normal 5 2 2 5 5 3 2" xfId="14888" xr:uid="{A06311C0-F4F1-4D12-B201-42CF2E42AFAB}"/>
    <cellStyle name="Normal 5 2 2 5 5 4" xfId="10670" xr:uid="{10530FDA-57BF-413C-B7DC-8D85605D4252}"/>
    <cellStyle name="Normal 5 2 2 5 6" xfId="2578" xr:uid="{00000000-0005-0000-0000-00001F180000}"/>
    <cellStyle name="Normal 5 2 2 5 6 2" xfId="6862" xr:uid="{00000000-0005-0000-0000-000020180000}"/>
    <cellStyle name="Normal 5 2 2 5 6 2 2" xfId="15301" xr:uid="{F8465AB5-5358-4251-AC7C-1B43538B1459}"/>
    <cellStyle name="Normal 5 2 2 5 6 3" xfId="11083" xr:uid="{C389AEF9-D08E-40B8-B669-EBB094419BEE}"/>
    <cellStyle name="Normal 5 2 2 5 7" xfId="4797" xr:uid="{00000000-0005-0000-0000-000021180000}"/>
    <cellStyle name="Normal 5 2 2 5 7 2" xfId="13236" xr:uid="{3DCB4338-1AF2-480B-8A8D-C0FBA5C927CD}"/>
    <cellStyle name="Normal 5 2 2 5 8" xfId="9018" xr:uid="{79649957-F02E-4500-9B4B-CDFFFC5C1244}"/>
    <cellStyle name="Normal 5 2 2 6" xfId="882" xr:uid="{00000000-0005-0000-0000-000022180000}"/>
    <cellStyle name="Normal 5 2 2 6 2" xfId="3117" xr:uid="{00000000-0005-0000-0000-000023180000}"/>
    <cellStyle name="Normal 5 2 2 6 2 2" xfId="7340" xr:uid="{00000000-0005-0000-0000-000024180000}"/>
    <cellStyle name="Normal 5 2 2 6 2 2 2" xfId="15779" xr:uid="{74863736-4E28-48D0-9219-5C05240462B1}"/>
    <cellStyle name="Normal 5 2 2 6 2 3" xfId="11561" xr:uid="{827CDC3C-6585-412D-A8AF-941474D74EED}"/>
    <cellStyle name="Normal 5 2 2 6 3" xfId="5195" xr:uid="{00000000-0005-0000-0000-000025180000}"/>
    <cellStyle name="Normal 5 2 2 6 3 2" xfId="13634" xr:uid="{3C7C31BF-1E65-4FA7-97B1-4F5503B7E512}"/>
    <cellStyle name="Normal 5 2 2 6 4" xfId="9416" xr:uid="{4195AFB4-BD4A-48EA-90A7-2E6AB5433AF1}"/>
    <cellStyle name="Normal 5 2 2 7" xfId="1300" xr:uid="{00000000-0005-0000-0000-000026180000}"/>
    <cellStyle name="Normal 5 2 2 7 2" xfId="3530" xr:uid="{00000000-0005-0000-0000-000027180000}"/>
    <cellStyle name="Normal 5 2 2 7 2 2" xfId="7753" xr:uid="{00000000-0005-0000-0000-000028180000}"/>
    <cellStyle name="Normal 5 2 2 7 2 2 2" xfId="16192" xr:uid="{DDD95AF2-326B-4ADC-83A8-6BA2B292F90A}"/>
    <cellStyle name="Normal 5 2 2 7 2 3" xfId="11974" xr:uid="{F9D5422A-8006-498C-90E3-BBAB159134FB}"/>
    <cellStyle name="Normal 5 2 2 7 3" xfId="5608" xr:uid="{00000000-0005-0000-0000-000029180000}"/>
    <cellStyle name="Normal 5 2 2 7 3 2" xfId="14047" xr:uid="{979930D0-2278-40E0-B58E-A985897546DB}"/>
    <cellStyle name="Normal 5 2 2 7 4" xfId="9829" xr:uid="{43941903-21FC-4822-B1E0-FE2327E7B3D1}"/>
    <cellStyle name="Normal 5 2 2 8" xfId="1713" xr:uid="{00000000-0005-0000-0000-00002A180000}"/>
    <cellStyle name="Normal 5 2 2 8 2" xfId="3943" xr:uid="{00000000-0005-0000-0000-00002B180000}"/>
    <cellStyle name="Normal 5 2 2 8 2 2" xfId="8166" xr:uid="{00000000-0005-0000-0000-00002C180000}"/>
    <cellStyle name="Normal 5 2 2 8 2 2 2" xfId="16605" xr:uid="{AF567334-37DB-49BC-82D5-8220B6FBB606}"/>
    <cellStyle name="Normal 5 2 2 8 2 3" xfId="12387" xr:uid="{66F68E17-F655-4A60-9649-1B815A8E5661}"/>
    <cellStyle name="Normal 5 2 2 8 3" xfId="6021" xr:uid="{00000000-0005-0000-0000-00002D180000}"/>
    <cellStyle name="Normal 5 2 2 8 3 2" xfId="14460" xr:uid="{E36C13CB-D2C3-42E6-8338-A9E56708D5CC}"/>
    <cellStyle name="Normal 5 2 2 8 4" xfId="10242" xr:uid="{67BA3B32-3233-4467-B20A-6527EAD2F714}"/>
    <cellStyle name="Normal 5 2 2 9" xfId="2127" xr:uid="{00000000-0005-0000-0000-00002E180000}"/>
    <cellStyle name="Normal 5 2 2 9 2" xfId="4356" xr:uid="{00000000-0005-0000-0000-00002F180000}"/>
    <cellStyle name="Normal 5 2 2 9 2 2" xfId="8579" xr:uid="{00000000-0005-0000-0000-000030180000}"/>
    <cellStyle name="Normal 5 2 2 9 2 2 2" xfId="17018" xr:uid="{8D35524F-0434-4D48-BB99-574C927D2B75}"/>
    <cellStyle name="Normal 5 2 2 9 2 3" xfId="12800" xr:uid="{17FA0E8A-CFE5-4B19-BFD7-E5EBD0465AD3}"/>
    <cellStyle name="Normal 5 2 2 9 3" xfId="6434" xr:uid="{00000000-0005-0000-0000-000031180000}"/>
    <cellStyle name="Normal 5 2 2 9 3 2" xfId="14873" xr:uid="{F52727E6-0FFA-4B3F-AEED-A3CD06917A06}"/>
    <cellStyle name="Normal 5 2 2 9 4" xfId="10655" xr:uid="{BFAE5F59-E0BE-4775-AE3F-DE51F37FC916}"/>
    <cellStyle name="Normal 5 2 3" xfId="424" xr:uid="{00000000-0005-0000-0000-000032180000}"/>
    <cellStyle name="Normal 5 2 3 10" xfId="4798" xr:uid="{00000000-0005-0000-0000-000033180000}"/>
    <cellStyle name="Normal 5 2 3 10 2" xfId="13237" xr:uid="{2E4A3A1C-FCC9-4E66-AEA0-5BA526F50E8C}"/>
    <cellStyle name="Normal 5 2 3 11" xfId="9019" xr:uid="{D67B3179-0C01-497E-BA33-70CA1D5856C9}"/>
    <cellStyle name="Normal 5 2 3 2" xfId="425" xr:uid="{00000000-0005-0000-0000-000034180000}"/>
    <cellStyle name="Normal 5 2 3 2 10" xfId="9020" xr:uid="{B242CB6A-7E4C-4EC2-8AE4-9CACF60C4A57}"/>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5798" xr:uid="{68345217-FC7B-48FF-AD35-9FD87ED1DE51}"/>
    <cellStyle name="Normal 5 2 3 2 2 2 2 2 3" xfId="11580" xr:uid="{6F8DC939-9029-46E4-98F5-E5569614A903}"/>
    <cellStyle name="Normal 5 2 3 2 2 2 2 3" xfId="5214" xr:uid="{00000000-0005-0000-0000-00003A180000}"/>
    <cellStyle name="Normal 5 2 3 2 2 2 2 3 2" xfId="13653" xr:uid="{DA45B34E-1407-4755-97A5-A02C13563EE9}"/>
    <cellStyle name="Normal 5 2 3 2 2 2 2 4" xfId="9435" xr:uid="{C4300948-6740-45BC-BCAC-3DAEE20537D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16211" xr:uid="{BAF926E9-1727-4764-AF7E-E3F013180B9E}"/>
    <cellStyle name="Normal 5 2 3 2 2 2 3 2 3" xfId="11993" xr:uid="{D28E92FA-261C-41DD-95B3-B5B5BBF2028F}"/>
    <cellStyle name="Normal 5 2 3 2 2 2 3 3" xfId="5627" xr:uid="{00000000-0005-0000-0000-00003E180000}"/>
    <cellStyle name="Normal 5 2 3 2 2 2 3 3 2" xfId="14066" xr:uid="{72180FA7-B7C1-49A9-98D9-7515FF020BA0}"/>
    <cellStyle name="Normal 5 2 3 2 2 2 3 4" xfId="9848" xr:uid="{D299A32B-59E3-4163-A3EE-540B261AFD85}"/>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16624" xr:uid="{7DC3A154-BF2A-4450-8CDB-2DFA50BFB106}"/>
    <cellStyle name="Normal 5 2 3 2 2 2 4 2 3" xfId="12406" xr:uid="{4E892333-05B0-4B8D-8C54-C8D3B848383A}"/>
    <cellStyle name="Normal 5 2 3 2 2 2 4 3" xfId="6040" xr:uid="{00000000-0005-0000-0000-000042180000}"/>
    <cellStyle name="Normal 5 2 3 2 2 2 4 3 2" xfId="14479" xr:uid="{06319287-F190-46A2-A51C-4EBE9A3FF6F9}"/>
    <cellStyle name="Normal 5 2 3 2 2 2 4 4" xfId="10261" xr:uid="{67112544-CCFA-4662-863B-4017106EB1A1}"/>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17037" xr:uid="{F460A964-B0B9-4AE5-AD03-F92833331A07}"/>
    <cellStyle name="Normal 5 2 3 2 2 2 5 2 3" xfId="12819" xr:uid="{72C49D6C-7B2D-4A7C-90EF-8C509117C0EE}"/>
    <cellStyle name="Normal 5 2 3 2 2 2 5 3" xfId="6453" xr:uid="{00000000-0005-0000-0000-000046180000}"/>
    <cellStyle name="Normal 5 2 3 2 2 2 5 3 2" xfId="14892" xr:uid="{61614C72-2FB0-463F-A703-E86DF04AC977}"/>
    <cellStyle name="Normal 5 2 3 2 2 2 5 4" xfId="10674" xr:uid="{1DB465AC-A1D6-4EA9-B956-D756698F5341}"/>
    <cellStyle name="Normal 5 2 3 2 2 2 6" xfId="2582" xr:uid="{00000000-0005-0000-0000-000047180000}"/>
    <cellStyle name="Normal 5 2 3 2 2 2 6 2" xfId="6866" xr:uid="{00000000-0005-0000-0000-000048180000}"/>
    <cellStyle name="Normal 5 2 3 2 2 2 6 2 2" xfId="15305" xr:uid="{478F64E1-2FC1-4B17-83B3-F0A60148EDBC}"/>
    <cellStyle name="Normal 5 2 3 2 2 2 6 3" xfId="11087" xr:uid="{75C41351-FFAE-488E-A5A1-505259690175}"/>
    <cellStyle name="Normal 5 2 3 2 2 2 7" xfId="4801" xr:uid="{00000000-0005-0000-0000-000049180000}"/>
    <cellStyle name="Normal 5 2 3 2 2 2 7 2" xfId="13240" xr:uid="{108B050C-3C14-4DAB-857F-6976726CA940}"/>
    <cellStyle name="Normal 5 2 3 2 2 2 8" xfId="9022" xr:uid="{9B0731B0-16B3-482C-9F22-64C25A445DC3}"/>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5797" xr:uid="{646FA263-7413-4FCF-BE5C-6127D36CB229}"/>
    <cellStyle name="Normal 5 2 3 2 2 3 2 3" xfId="11579" xr:uid="{4BA68DA9-D9F1-48E8-8F76-0338EEF787D1}"/>
    <cellStyle name="Normal 5 2 3 2 2 3 3" xfId="5213" xr:uid="{00000000-0005-0000-0000-00004D180000}"/>
    <cellStyle name="Normal 5 2 3 2 2 3 3 2" xfId="13652" xr:uid="{AEC0B80E-AE90-4E6A-8747-3703DF44E008}"/>
    <cellStyle name="Normal 5 2 3 2 2 3 4" xfId="9434" xr:uid="{C1B979E6-EC57-4077-945B-F2B5B0685F46}"/>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16210" xr:uid="{8E9A0735-B137-40F2-BF66-7D1AF686DFF9}"/>
    <cellStyle name="Normal 5 2 3 2 2 4 2 3" xfId="11992" xr:uid="{EC197368-266F-40E1-BD56-69BFFE440306}"/>
    <cellStyle name="Normal 5 2 3 2 2 4 3" xfId="5626" xr:uid="{00000000-0005-0000-0000-000051180000}"/>
    <cellStyle name="Normal 5 2 3 2 2 4 3 2" xfId="14065" xr:uid="{D92C871E-B772-4A81-8B0E-82AD73DDD22F}"/>
    <cellStyle name="Normal 5 2 3 2 2 4 4" xfId="9847" xr:uid="{6514FF10-4A87-41FA-9E4C-83D5506E949B}"/>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16623" xr:uid="{DF88FC08-77CD-467D-BCB7-D1BAEDC6A93F}"/>
    <cellStyle name="Normal 5 2 3 2 2 5 2 3" xfId="12405" xr:uid="{829976BF-1CAF-4FAB-ADD1-40480B1EB222}"/>
    <cellStyle name="Normal 5 2 3 2 2 5 3" xfId="6039" xr:uid="{00000000-0005-0000-0000-000055180000}"/>
    <cellStyle name="Normal 5 2 3 2 2 5 3 2" xfId="14478" xr:uid="{CC833CA0-A189-4426-8CF3-0FE81E91D090}"/>
    <cellStyle name="Normal 5 2 3 2 2 5 4" xfId="10260" xr:uid="{399C8598-A949-43A8-A6B4-E491881B1673}"/>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17036" xr:uid="{D449AC84-9289-4AB9-B212-F89FA6382D7C}"/>
    <cellStyle name="Normal 5 2 3 2 2 6 2 3" xfId="12818" xr:uid="{8C3FCAAD-7006-4D60-9F90-8DFA80DCF9AB}"/>
    <cellStyle name="Normal 5 2 3 2 2 6 3" xfId="6452" xr:uid="{00000000-0005-0000-0000-000059180000}"/>
    <cellStyle name="Normal 5 2 3 2 2 6 3 2" xfId="14891" xr:uid="{6221209E-1C1A-4FD4-9769-4B72B1C740C9}"/>
    <cellStyle name="Normal 5 2 3 2 2 6 4" xfId="10673" xr:uid="{51D03A0F-6A38-4597-ACF4-A85816E6D882}"/>
    <cellStyle name="Normal 5 2 3 2 2 7" xfId="2581" xr:uid="{00000000-0005-0000-0000-00005A180000}"/>
    <cellStyle name="Normal 5 2 3 2 2 7 2" xfId="6865" xr:uid="{00000000-0005-0000-0000-00005B180000}"/>
    <cellStyle name="Normal 5 2 3 2 2 7 2 2" xfId="15304" xr:uid="{5EC64E3D-042D-4504-91A6-5E92D8A60B6C}"/>
    <cellStyle name="Normal 5 2 3 2 2 7 3" xfId="11086" xr:uid="{6CFC7F36-678C-4B65-AB41-9C1695E11ECC}"/>
    <cellStyle name="Normal 5 2 3 2 2 8" xfId="4800" xr:uid="{00000000-0005-0000-0000-00005C180000}"/>
    <cellStyle name="Normal 5 2 3 2 2 8 2" xfId="13239" xr:uid="{C756FC51-319A-483D-B96B-55E45A7A3035}"/>
    <cellStyle name="Normal 5 2 3 2 2 9" xfId="9021" xr:uid="{F667D46E-DDE7-4CD0-9056-6C05B79441DD}"/>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5799" xr:uid="{E18272FA-5334-436E-86BF-C8E3DCF35934}"/>
    <cellStyle name="Normal 5 2 3 2 3 2 2 3" xfId="11581" xr:uid="{C0694F0F-2BBB-481F-94DA-BC5760A854AF}"/>
    <cellStyle name="Normal 5 2 3 2 3 2 3" xfId="5215" xr:uid="{00000000-0005-0000-0000-000061180000}"/>
    <cellStyle name="Normal 5 2 3 2 3 2 3 2" xfId="13654" xr:uid="{78DA9B33-474D-4329-AE6E-5D74709CBC2E}"/>
    <cellStyle name="Normal 5 2 3 2 3 2 4" xfId="9436" xr:uid="{9E805231-796F-481E-A7F6-D485044C4695}"/>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16212" xr:uid="{3A3149C8-FC98-42E0-AE83-C9C92149E1A3}"/>
    <cellStyle name="Normal 5 2 3 2 3 3 2 3" xfId="11994" xr:uid="{01D8027E-45C8-4221-8A8D-1FA577414BEB}"/>
    <cellStyle name="Normal 5 2 3 2 3 3 3" xfId="5628" xr:uid="{00000000-0005-0000-0000-000065180000}"/>
    <cellStyle name="Normal 5 2 3 2 3 3 3 2" xfId="14067" xr:uid="{EDCF9742-5CEB-4B43-8C01-BB40503A64EB}"/>
    <cellStyle name="Normal 5 2 3 2 3 3 4" xfId="9849" xr:uid="{84204283-5E93-4014-B677-67D81AE8D4B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16625" xr:uid="{535E2610-2641-404B-B2AD-8DB789DC3BFE}"/>
    <cellStyle name="Normal 5 2 3 2 3 4 2 3" xfId="12407" xr:uid="{0391ADDD-E770-4809-A0DC-F8A3FD3147A8}"/>
    <cellStyle name="Normal 5 2 3 2 3 4 3" xfId="6041" xr:uid="{00000000-0005-0000-0000-000069180000}"/>
    <cellStyle name="Normal 5 2 3 2 3 4 3 2" xfId="14480" xr:uid="{F71A511F-CEFF-499C-B587-E1A76F3E4E8B}"/>
    <cellStyle name="Normal 5 2 3 2 3 4 4" xfId="10262" xr:uid="{E2511ECD-8092-48D3-8FFA-BE65765A6417}"/>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17038" xr:uid="{7DE81345-C1D1-4CEE-B623-4E292017FBE6}"/>
    <cellStyle name="Normal 5 2 3 2 3 5 2 3" xfId="12820" xr:uid="{6A9B56D4-9007-4BAF-B6A6-B0B59DFA430E}"/>
    <cellStyle name="Normal 5 2 3 2 3 5 3" xfId="6454" xr:uid="{00000000-0005-0000-0000-00006D180000}"/>
    <cellStyle name="Normal 5 2 3 2 3 5 3 2" xfId="14893" xr:uid="{6013A71A-1907-415F-AC60-E90722972972}"/>
    <cellStyle name="Normal 5 2 3 2 3 5 4" xfId="10675" xr:uid="{2FDBFA54-B2B3-4B5E-BE9B-3F7776054591}"/>
    <cellStyle name="Normal 5 2 3 2 3 6" xfId="2583" xr:uid="{00000000-0005-0000-0000-00006E180000}"/>
    <cellStyle name="Normal 5 2 3 2 3 6 2" xfId="6867" xr:uid="{00000000-0005-0000-0000-00006F180000}"/>
    <cellStyle name="Normal 5 2 3 2 3 6 2 2" xfId="15306" xr:uid="{3168636B-8B23-4808-8A98-DB80BBB8475C}"/>
    <cellStyle name="Normal 5 2 3 2 3 6 3" xfId="11088" xr:uid="{57C5A92D-0351-414B-8352-251FC677E67C}"/>
    <cellStyle name="Normal 5 2 3 2 3 7" xfId="4802" xr:uid="{00000000-0005-0000-0000-000070180000}"/>
    <cellStyle name="Normal 5 2 3 2 3 7 2" xfId="13241" xr:uid="{80FD106D-DBF3-43F7-957A-7B44762C7787}"/>
    <cellStyle name="Normal 5 2 3 2 3 8" xfId="9023" xr:uid="{C9509D57-7733-4358-A629-96808A8D14A0}"/>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5796" xr:uid="{2B644DC4-9247-4031-B891-2CD0018D5087}"/>
    <cellStyle name="Normal 5 2 3 2 4 2 3" xfId="11578" xr:uid="{2672A767-4318-4DB2-94B2-53EBD19DB60C}"/>
    <cellStyle name="Normal 5 2 3 2 4 3" xfId="5212" xr:uid="{00000000-0005-0000-0000-000074180000}"/>
    <cellStyle name="Normal 5 2 3 2 4 3 2" xfId="13651" xr:uid="{26F6F44A-DE60-4689-8663-0BA97F4C4400}"/>
    <cellStyle name="Normal 5 2 3 2 4 4" xfId="9433" xr:uid="{69E2DF91-864A-4738-A94D-563BDDD2B5D1}"/>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16209" xr:uid="{09C96590-BED7-4237-9594-7A92959EA6EA}"/>
    <cellStyle name="Normal 5 2 3 2 5 2 3" xfId="11991" xr:uid="{B8540196-CD98-4F50-9DFC-46206743BA2A}"/>
    <cellStyle name="Normal 5 2 3 2 5 3" xfId="5625" xr:uid="{00000000-0005-0000-0000-000078180000}"/>
    <cellStyle name="Normal 5 2 3 2 5 3 2" xfId="14064" xr:uid="{7D7F0FA5-BF6C-4F18-8AA1-9D88CEB100DF}"/>
    <cellStyle name="Normal 5 2 3 2 5 4" xfId="9846" xr:uid="{7AA3C3E1-29DA-4314-A3B9-05B57D9A4AE3}"/>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16622" xr:uid="{7E20F16E-4FE8-46B9-B263-D76343C4BC00}"/>
    <cellStyle name="Normal 5 2 3 2 6 2 3" xfId="12404" xr:uid="{7A1BB996-CF89-4C73-953E-8D27D18CD905}"/>
    <cellStyle name="Normal 5 2 3 2 6 3" xfId="6038" xr:uid="{00000000-0005-0000-0000-00007C180000}"/>
    <cellStyle name="Normal 5 2 3 2 6 3 2" xfId="14477" xr:uid="{BE19A34E-5170-42C8-A663-1B9F91444E87}"/>
    <cellStyle name="Normal 5 2 3 2 6 4" xfId="10259" xr:uid="{81830BB0-F617-463C-9E7D-C9EF02325D3D}"/>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17035" xr:uid="{359E15DB-AC8D-4D37-9068-112BFBDD0715}"/>
    <cellStyle name="Normal 5 2 3 2 7 2 3" xfId="12817" xr:uid="{997FE15C-E7AC-4EEC-9CD2-9FB213AFBB1F}"/>
    <cellStyle name="Normal 5 2 3 2 7 3" xfId="6451" xr:uid="{00000000-0005-0000-0000-000080180000}"/>
    <cellStyle name="Normal 5 2 3 2 7 3 2" xfId="14890" xr:uid="{052146B5-64EC-4769-928D-EBBE303DEB86}"/>
    <cellStyle name="Normal 5 2 3 2 7 4" xfId="10672" xr:uid="{639273F6-D0E8-4114-8EBA-0D13DB6CE3EE}"/>
    <cellStyle name="Normal 5 2 3 2 8" xfId="2580" xr:uid="{00000000-0005-0000-0000-000081180000}"/>
    <cellStyle name="Normal 5 2 3 2 8 2" xfId="6864" xr:uid="{00000000-0005-0000-0000-000082180000}"/>
    <cellStyle name="Normal 5 2 3 2 8 2 2" xfId="15303" xr:uid="{9412EEAF-83D1-42DD-97BB-B4C676CCD722}"/>
    <cellStyle name="Normal 5 2 3 2 8 3" xfId="11085" xr:uid="{D4A48FB7-0D32-4258-8637-F59CA3DAD9B6}"/>
    <cellStyle name="Normal 5 2 3 2 9" xfId="4799" xr:uid="{00000000-0005-0000-0000-000083180000}"/>
    <cellStyle name="Normal 5 2 3 2 9 2" xfId="13238" xr:uid="{D4D9C68F-66ED-4C7F-A02C-447EAFA19A43}"/>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5801" xr:uid="{661D1131-B0F5-4E39-87C8-20CED89A5527}"/>
    <cellStyle name="Normal 5 2 3 3 2 2 2 3" xfId="11583" xr:uid="{622837E5-9B7C-4AB8-BDF9-66D688103BD6}"/>
    <cellStyle name="Normal 5 2 3 3 2 2 3" xfId="5217" xr:uid="{00000000-0005-0000-0000-000089180000}"/>
    <cellStyle name="Normal 5 2 3 3 2 2 3 2" xfId="13656" xr:uid="{46712ACD-F099-4E58-86B7-379244029956}"/>
    <cellStyle name="Normal 5 2 3 3 2 2 4" xfId="9438" xr:uid="{39075694-36EA-4B6F-8B84-143062E79747}"/>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16214" xr:uid="{A1BD4A56-8765-4ADE-9447-C23458B44E2C}"/>
    <cellStyle name="Normal 5 2 3 3 2 3 2 3" xfId="11996" xr:uid="{6FD73672-48B4-4EA7-BD06-7D8E659919D2}"/>
    <cellStyle name="Normal 5 2 3 3 2 3 3" xfId="5630" xr:uid="{00000000-0005-0000-0000-00008D180000}"/>
    <cellStyle name="Normal 5 2 3 3 2 3 3 2" xfId="14069" xr:uid="{D366959E-8940-4492-A15E-5BA0099CBF96}"/>
    <cellStyle name="Normal 5 2 3 3 2 3 4" xfId="9851" xr:uid="{7CF13200-D214-4DFC-800B-442DDDAE16DF}"/>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16627" xr:uid="{0B593987-5712-4D75-B68B-EA546ADFFB2A}"/>
    <cellStyle name="Normal 5 2 3 3 2 4 2 3" xfId="12409" xr:uid="{7D52F641-1DB0-4B89-B002-1548EDC61B29}"/>
    <cellStyle name="Normal 5 2 3 3 2 4 3" xfId="6043" xr:uid="{00000000-0005-0000-0000-000091180000}"/>
    <cellStyle name="Normal 5 2 3 3 2 4 3 2" xfId="14482" xr:uid="{C4FD6ACE-C9C5-4060-8357-BC37FDDC6783}"/>
    <cellStyle name="Normal 5 2 3 3 2 4 4" xfId="10264" xr:uid="{B18F881D-5984-4D26-BD17-A1668A643F7E}"/>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17040" xr:uid="{530CC832-5DCB-44C3-B6D5-3D46FFE14015}"/>
    <cellStyle name="Normal 5 2 3 3 2 5 2 3" xfId="12822" xr:uid="{02B4957C-A55C-4B92-9B3C-80F09393ADFD}"/>
    <cellStyle name="Normal 5 2 3 3 2 5 3" xfId="6456" xr:uid="{00000000-0005-0000-0000-000095180000}"/>
    <cellStyle name="Normal 5 2 3 3 2 5 3 2" xfId="14895" xr:uid="{F8C804E9-30BB-436D-A345-3E6CBEB4470B}"/>
    <cellStyle name="Normal 5 2 3 3 2 5 4" xfId="10677" xr:uid="{9CCA0EA2-0B3C-46FD-A99E-7DACC7FFF0AB}"/>
    <cellStyle name="Normal 5 2 3 3 2 6" xfId="2585" xr:uid="{00000000-0005-0000-0000-000096180000}"/>
    <cellStyle name="Normal 5 2 3 3 2 6 2" xfId="6869" xr:uid="{00000000-0005-0000-0000-000097180000}"/>
    <cellStyle name="Normal 5 2 3 3 2 6 2 2" xfId="15308" xr:uid="{738EB6EA-123B-4D50-9BF6-687B6316D50A}"/>
    <cellStyle name="Normal 5 2 3 3 2 6 3" xfId="11090" xr:uid="{7372DE98-C338-4B64-9BD2-099725B48372}"/>
    <cellStyle name="Normal 5 2 3 3 2 7" xfId="4804" xr:uid="{00000000-0005-0000-0000-000098180000}"/>
    <cellStyle name="Normal 5 2 3 3 2 7 2" xfId="13243" xr:uid="{DA342EC8-381F-4D25-A9AB-7B043663B772}"/>
    <cellStyle name="Normal 5 2 3 3 2 8" xfId="9025" xr:uid="{5A0BA72F-5C3D-4CBF-BBA2-2D66DF765785}"/>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5800" xr:uid="{43A368F5-7434-41EC-8E7D-C21A61F3DD87}"/>
    <cellStyle name="Normal 5 2 3 3 3 2 3" xfId="11582" xr:uid="{AFCEA6BA-1D6C-41D5-988E-5DC5B05B1940}"/>
    <cellStyle name="Normal 5 2 3 3 3 3" xfId="5216" xr:uid="{00000000-0005-0000-0000-00009C180000}"/>
    <cellStyle name="Normal 5 2 3 3 3 3 2" xfId="13655" xr:uid="{9CEB9CB4-7237-46BB-9CE3-AA957BE294C0}"/>
    <cellStyle name="Normal 5 2 3 3 3 4" xfId="9437" xr:uid="{9ADF8855-2902-4B07-96E1-CDD878DE6A55}"/>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16213" xr:uid="{C86CA752-83F2-47A6-B454-CF87A6A0BA8D}"/>
    <cellStyle name="Normal 5 2 3 3 4 2 3" xfId="11995" xr:uid="{931F6310-D5D2-47D8-83EA-2821C9494079}"/>
    <cellStyle name="Normal 5 2 3 3 4 3" xfId="5629" xr:uid="{00000000-0005-0000-0000-0000A0180000}"/>
    <cellStyle name="Normal 5 2 3 3 4 3 2" xfId="14068" xr:uid="{CC423A73-D2E4-4098-A781-CC215051F712}"/>
    <cellStyle name="Normal 5 2 3 3 4 4" xfId="9850" xr:uid="{BD2AF96C-2CB3-4C9A-BB22-E393DB7BDAD2}"/>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16626" xr:uid="{15D5DF5A-8AEB-4BE6-AA71-1CBB1D5067C0}"/>
    <cellStyle name="Normal 5 2 3 3 5 2 3" xfId="12408" xr:uid="{47E4C637-CA4F-42B5-B360-F76F22D7DC64}"/>
    <cellStyle name="Normal 5 2 3 3 5 3" xfId="6042" xr:uid="{00000000-0005-0000-0000-0000A4180000}"/>
    <cellStyle name="Normal 5 2 3 3 5 3 2" xfId="14481" xr:uid="{A4544759-F65D-4886-A4D0-79D64E00CAC6}"/>
    <cellStyle name="Normal 5 2 3 3 5 4" xfId="10263" xr:uid="{6424A962-2C5B-4EAE-992A-62FBAB6C1B1E}"/>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17039" xr:uid="{9AF5F792-BFC7-40CF-BE4F-811CCA22A6E3}"/>
    <cellStyle name="Normal 5 2 3 3 6 2 3" xfId="12821" xr:uid="{532A702D-41D2-4168-BB02-8FF213AB5686}"/>
    <cellStyle name="Normal 5 2 3 3 6 3" xfId="6455" xr:uid="{00000000-0005-0000-0000-0000A8180000}"/>
    <cellStyle name="Normal 5 2 3 3 6 3 2" xfId="14894" xr:uid="{2AB396FE-499B-4D11-9CE7-5381BF847B1D}"/>
    <cellStyle name="Normal 5 2 3 3 6 4" xfId="10676" xr:uid="{2B2E5650-62E1-43B1-B3CD-1F208E5709AE}"/>
    <cellStyle name="Normal 5 2 3 3 7" xfId="2584" xr:uid="{00000000-0005-0000-0000-0000A9180000}"/>
    <cellStyle name="Normal 5 2 3 3 7 2" xfId="6868" xr:uid="{00000000-0005-0000-0000-0000AA180000}"/>
    <cellStyle name="Normal 5 2 3 3 7 2 2" xfId="15307" xr:uid="{F0C1E1BE-9684-4550-99B6-97D772762EC6}"/>
    <cellStyle name="Normal 5 2 3 3 7 3" xfId="11089" xr:uid="{F26231E1-7CA6-46E0-B4C7-9EA7985A7814}"/>
    <cellStyle name="Normal 5 2 3 3 8" xfId="4803" xr:uid="{00000000-0005-0000-0000-0000AB180000}"/>
    <cellStyle name="Normal 5 2 3 3 8 2" xfId="13242" xr:uid="{E1722F13-5361-44E4-B702-DC826D031026}"/>
    <cellStyle name="Normal 5 2 3 3 9" xfId="9024" xr:uid="{0F843F1F-679C-4C8A-9E56-9624B765C748}"/>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5802" xr:uid="{6FE65537-EB05-4BE5-8871-396A4E8E6A01}"/>
    <cellStyle name="Normal 5 2 3 4 2 2 3" xfId="11584" xr:uid="{75BAA693-D0D3-489D-A814-BE70C5B89193}"/>
    <cellStyle name="Normal 5 2 3 4 2 3" xfId="5218" xr:uid="{00000000-0005-0000-0000-0000B0180000}"/>
    <cellStyle name="Normal 5 2 3 4 2 3 2" xfId="13657" xr:uid="{39C40217-5674-4CE8-956B-DC6A6A8AB27F}"/>
    <cellStyle name="Normal 5 2 3 4 2 4" xfId="9439" xr:uid="{365495B2-8C49-4656-9430-1E267BC1E567}"/>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16215" xr:uid="{DFE8F487-B106-4E46-B154-66F2444D0BB8}"/>
    <cellStyle name="Normal 5 2 3 4 3 2 3" xfId="11997" xr:uid="{FE348957-ACA5-4519-91CD-188A002B1105}"/>
    <cellStyle name="Normal 5 2 3 4 3 3" xfId="5631" xr:uid="{00000000-0005-0000-0000-0000B4180000}"/>
    <cellStyle name="Normal 5 2 3 4 3 3 2" xfId="14070" xr:uid="{673D3FE6-6275-4D9D-B668-979904C9E58A}"/>
    <cellStyle name="Normal 5 2 3 4 3 4" xfId="9852" xr:uid="{495E24E6-6A0D-4FB7-8416-7E5EC5EA74A6}"/>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16628" xr:uid="{DBA8DDD8-4FD2-40C9-9F84-11D91C88E1DE}"/>
    <cellStyle name="Normal 5 2 3 4 4 2 3" xfId="12410" xr:uid="{F736D701-B3A8-45F5-BF0F-A0EEFBE03A2A}"/>
    <cellStyle name="Normal 5 2 3 4 4 3" xfId="6044" xr:uid="{00000000-0005-0000-0000-0000B8180000}"/>
    <cellStyle name="Normal 5 2 3 4 4 3 2" xfId="14483" xr:uid="{6B8E4206-A6F4-4A25-B570-70516639D208}"/>
    <cellStyle name="Normal 5 2 3 4 4 4" xfId="10265" xr:uid="{6A79483E-5FF2-494A-8748-8033DD72901D}"/>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17041" xr:uid="{A1543392-FABE-4A17-98F7-3F3735F93E6D}"/>
    <cellStyle name="Normal 5 2 3 4 5 2 3" xfId="12823" xr:uid="{62A5F933-AB11-49FC-BB96-C995FC987193}"/>
    <cellStyle name="Normal 5 2 3 4 5 3" xfId="6457" xr:uid="{00000000-0005-0000-0000-0000BC180000}"/>
    <cellStyle name="Normal 5 2 3 4 5 3 2" xfId="14896" xr:uid="{8A06A58C-F379-4072-8A01-8B57576B1A0C}"/>
    <cellStyle name="Normal 5 2 3 4 5 4" xfId="10678" xr:uid="{F87EA4B4-1C74-4C1C-8AAE-DAC301164BCA}"/>
    <cellStyle name="Normal 5 2 3 4 6" xfId="2586" xr:uid="{00000000-0005-0000-0000-0000BD180000}"/>
    <cellStyle name="Normal 5 2 3 4 6 2" xfId="6870" xr:uid="{00000000-0005-0000-0000-0000BE180000}"/>
    <cellStyle name="Normal 5 2 3 4 6 2 2" xfId="15309" xr:uid="{2D458E4F-B2F1-4AAE-BDF4-7A6993B28259}"/>
    <cellStyle name="Normal 5 2 3 4 6 3" xfId="11091" xr:uid="{98D6A0F2-53B4-44E4-84C5-05629AC8AB62}"/>
    <cellStyle name="Normal 5 2 3 4 7" xfId="4805" xr:uid="{00000000-0005-0000-0000-0000BF180000}"/>
    <cellStyle name="Normal 5 2 3 4 7 2" xfId="13244" xr:uid="{605C9BA0-247D-4E4E-B807-4903CBB0426C}"/>
    <cellStyle name="Normal 5 2 3 4 8" xfId="9026" xr:uid="{CE62AE65-4505-4F71-9F19-8411F79A7776}"/>
    <cellStyle name="Normal 5 2 3 5" xfId="898" xr:uid="{00000000-0005-0000-0000-0000C0180000}"/>
    <cellStyle name="Normal 5 2 3 5 2" xfId="3133" xr:uid="{00000000-0005-0000-0000-0000C1180000}"/>
    <cellStyle name="Normal 5 2 3 5 2 2" xfId="7356" xr:uid="{00000000-0005-0000-0000-0000C2180000}"/>
    <cellStyle name="Normal 5 2 3 5 2 2 2" xfId="15795" xr:uid="{DB2A4E8E-B7D7-496E-8CA0-4380AE395771}"/>
    <cellStyle name="Normal 5 2 3 5 2 3" xfId="11577" xr:uid="{A085696A-DA2F-443E-934A-097CC13B6A6B}"/>
    <cellStyle name="Normal 5 2 3 5 3" xfId="5211" xr:uid="{00000000-0005-0000-0000-0000C3180000}"/>
    <cellStyle name="Normal 5 2 3 5 3 2" xfId="13650" xr:uid="{4F56BA12-CB00-4C0C-932B-46C7B7240766}"/>
    <cellStyle name="Normal 5 2 3 5 4" xfId="9432" xr:uid="{A0E13825-7175-4311-BA3D-2868C6ABF63E}"/>
    <cellStyle name="Normal 5 2 3 6" xfId="1316" xr:uid="{00000000-0005-0000-0000-0000C4180000}"/>
    <cellStyle name="Normal 5 2 3 6 2" xfId="3546" xr:uid="{00000000-0005-0000-0000-0000C5180000}"/>
    <cellStyle name="Normal 5 2 3 6 2 2" xfId="7769" xr:uid="{00000000-0005-0000-0000-0000C6180000}"/>
    <cellStyle name="Normal 5 2 3 6 2 2 2" xfId="16208" xr:uid="{10373A50-C989-4930-A0A6-DE169E918D20}"/>
    <cellStyle name="Normal 5 2 3 6 2 3" xfId="11990" xr:uid="{660E5EFF-AB25-437D-BDC9-604B12F7C339}"/>
    <cellStyle name="Normal 5 2 3 6 3" xfId="5624" xr:uid="{00000000-0005-0000-0000-0000C7180000}"/>
    <cellStyle name="Normal 5 2 3 6 3 2" xfId="14063" xr:uid="{BCDF29D8-EEBF-48A4-9D4C-8BD1423957E9}"/>
    <cellStyle name="Normal 5 2 3 6 4" xfId="9845" xr:uid="{BAFA7CE1-672E-48DC-BCBF-A02B774A90B8}"/>
    <cellStyle name="Normal 5 2 3 7" xfId="1729" xr:uid="{00000000-0005-0000-0000-0000C8180000}"/>
    <cellStyle name="Normal 5 2 3 7 2" xfId="3959" xr:uid="{00000000-0005-0000-0000-0000C9180000}"/>
    <cellStyle name="Normal 5 2 3 7 2 2" xfId="8182" xr:uid="{00000000-0005-0000-0000-0000CA180000}"/>
    <cellStyle name="Normal 5 2 3 7 2 2 2" xfId="16621" xr:uid="{5651D20B-C9DC-4BBB-8E68-5DAE00A709BB}"/>
    <cellStyle name="Normal 5 2 3 7 2 3" xfId="12403" xr:uid="{A79FF397-3259-4381-BAF1-18560225DCFF}"/>
    <cellStyle name="Normal 5 2 3 7 3" xfId="6037" xr:uid="{00000000-0005-0000-0000-0000CB180000}"/>
    <cellStyle name="Normal 5 2 3 7 3 2" xfId="14476" xr:uid="{B04425DD-1B74-4CD9-A856-38FCAD2328E0}"/>
    <cellStyle name="Normal 5 2 3 7 4" xfId="10258" xr:uid="{9E956974-BE7E-427C-B5EA-BEDAEE74B43A}"/>
    <cellStyle name="Normal 5 2 3 8" xfId="2143" xr:uid="{00000000-0005-0000-0000-0000CC180000}"/>
    <cellStyle name="Normal 5 2 3 8 2" xfId="4372" xr:uid="{00000000-0005-0000-0000-0000CD180000}"/>
    <cellStyle name="Normal 5 2 3 8 2 2" xfId="8595" xr:uid="{00000000-0005-0000-0000-0000CE180000}"/>
    <cellStyle name="Normal 5 2 3 8 2 2 2" xfId="17034" xr:uid="{AD0FB851-EF0F-4752-808B-D8FE5F265EF0}"/>
    <cellStyle name="Normal 5 2 3 8 2 3" xfId="12816" xr:uid="{5764458B-1184-40B3-A78E-ED529096DBA0}"/>
    <cellStyle name="Normal 5 2 3 8 3" xfId="6450" xr:uid="{00000000-0005-0000-0000-0000CF180000}"/>
    <cellStyle name="Normal 5 2 3 8 3 2" xfId="14889" xr:uid="{6AE022A1-2BAD-4E8D-9120-E0DCCB715DD1}"/>
    <cellStyle name="Normal 5 2 3 8 4" xfId="10671" xr:uid="{AB2D511C-8058-4444-87C8-2992B71BA5B7}"/>
    <cellStyle name="Normal 5 2 3 9" xfId="2579" xr:uid="{00000000-0005-0000-0000-0000D0180000}"/>
    <cellStyle name="Normal 5 2 3 9 2" xfId="6863" xr:uid="{00000000-0005-0000-0000-0000D1180000}"/>
    <cellStyle name="Normal 5 2 3 9 2 2" xfId="15302" xr:uid="{5C387BDC-B12C-46AA-8100-75BE3E613CC7}"/>
    <cellStyle name="Normal 5 2 3 9 3" xfId="11084" xr:uid="{22D5EC12-F850-4524-9F6E-0F538BA8A18C}"/>
    <cellStyle name="Normal 5 2 4" xfId="432" xr:uid="{00000000-0005-0000-0000-0000D2180000}"/>
    <cellStyle name="Normal 5 2 4 10" xfId="9027" xr:uid="{DBC20E16-2A8A-432A-80F5-0CA071C7DA6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5805" xr:uid="{A36FCE1E-1A6A-4A43-B788-7AF58853CF8D}"/>
    <cellStyle name="Normal 5 2 4 2 2 2 2 3" xfId="11587" xr:uid="{BFF402A5-5312-4621-9F19-C50FF0F7A8AE}"/>
    <cellStyle name="Normal 5 2 4 2 2 2 3" xfId="5221" xr:uid="{00000000-0005-0000-0000-0000D8180000}"/>
    <cellStyle name="Normal 5 2 4 2 2 2 3 2" xfId="13660" xr:uid="{094C63F3-59E1-4AAA-BCD6-ED4AFD35185A}"/>
    <cellStyle name="Normal 5 2 4 2 2 2 4" xfId="9442" xr:uid="{B35E62FC-50A3-4AF1-BCA4-7C8B6CE1AF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16218" xr:uid="{CF9C2815-8DE4-4B90-87B6-5D45E5B0B79F}"/>
    <cellStyle name="Normal 5 2 4 2 2 3 2 3" xfId="12000" xr:uid="{FD676935-312B-4977-8330-4915CFC2496F}"/>
    <cellStyle name="Normal 5 2 4 2 2 3 3" xfId="5634" xr:uid="{00000000-0005-0000-0000-0000DC180000}"/>
    <cellStyle name="Normal 5 2 4 2 2 3 3 2" xfId="14073" xr:uid="{CC649213-60BE-4C23-8629-7BDA8D7AAD06}"/>
    <cellStyle name="Normal 5 2 4 2 2 3 4" xfId="9855" xr:uid="{D10861C2-B8CA-4184-B401-9AD5885A0F91}"/>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16631" xr:uid="{AEE1AB57-FBA3-4E2F-9FE5-AD2DFFC7226F}"/>
    <cellStyle name="Normal 5 2 4 2 2 4 2 3" xfId="12413" xr:uid="{01374308-EA68-497A-9387-3A0EB4B795D5}"/>
    <cellStyle name="Normal 5 2 4 2 2 4 3" xfId="6047" xr:uid="{00000000-0005-0000-0000-0000E0180000}"/>
    <cellStyle name="Normal 5 2 4 2 2 4 3 2" xfId="14486" xr:uid="{D8809C5F-96CE-4CD6-94C4-32DAEA9E89E3}"/>
    <cellStyle name="Normal 5 2 4 2 2 4 4" xfId="10268" xr:uid="{867E88C9-5C51-463B-BFB4-12B4D7F74464}"/>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17044" xr:uid="{9C1282B4-2A2E-4AE9-9191-2E39906BD42A}"/>
    <cellStyle name="Normal 5 2 4 2 2 5 2 3" xfId="12826" xr:uid="{F973E76E-9787-47F5-9DB1-FEAE1602E7C8}"/>
    <cellStyle name="Normal 5 2 4 2 2 5 3" xfId="6460" xr:uid="{00000000-0005-0000-0000-0000E4180000}"/>
    <cellStyle name="Normal 5 2 4 2 2 5 3 2" xfId="14899" xr:uid="{5FA370EC-7507-4AA4-8A75-39134F648C8D}"/>
    <cellStyle name="Normal 5 2 4 2 2 5 4" xfId="10681" xr:uid="{4C21E11A-CB51-4D94-BF2A-E95187DA3088}"/>
    <cellStyle name="Normal 5 2 4 2 2 6" xfId="2589" xr:uid="{00000000-0005-0000-0000-0000E5180000}"/>
    <cellStyle name="Normal 5 2 4 2 2 6 2" xfId="6873" xr:uid="{00000000-0005-0000-0000-0000E6180000}"/>
    <cellStyle name="Normal 5 2 4 2 2 6 2 2" xfId="15312" xr:uid="{33980BB7-026E-4602-9485-71612FDB0BEB}"/>
    <cellStyle name="Normal 5 2 4 2 2 6 3" xfId="11094" xr:uid="{D9827CFF-E455-4CD8-B97E-F6481505383A}"/>
    <cellStyle name="Normal 5 2 4 2 2 7" xfId="4808" xr:uid="{00000000-0005-0000-0000-0000E7180000}"/>
    <cellStyle name="Normal 5 2 4 2 2 7 2" xfId="13247" xr:uid="{BC453F2A-141F-445B-ADAD-4928B52B26CA}"/>
    <cellStyle name="Normal 5 2 4 2 2 8" xfId="9029" xr:uid="{66D60C3F-54F6-4444-AD73-D00385AE28C6}"/>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5804" xr:uid="{1FDF870D-E7D7-4404-8D8B-2417E7E4AC68}"/>
    <cellStyle name="Normal 5 2 4 2 3 2 3" xfId="11586" xr:uid="{19ADF54E-563A-4DB4-81AD-03E97B2D61F4}"/>
    <cellStyle name="Normal 5 2 4 2 3 3" xfId="5220" xr:uid="{00000000-0005-0000-0000-0000EB180000}"/>
    <cellStyle name="Normal 5 2 4 2 3 3 2" xfId="13659" xr:uid="{19647A26-FA3C-4D81-BD6B-4ED09C1CDB36}"/>
    <cellStyle name="Normal 5 2 4 2 3 4" xfId="9441" xr:uid="{B2B22BB5-E63D-4281-8242-A2BBF07E2B72}"/>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16217" xr:uid="{2DA41ACE-DA09-453B-889C-1087F49E98D8}"/>
    <cellStyle name="Normal 5 2 4 2 4 2 3" xfId="11999" xr:uid="{667B8B3A-6191-489F-BFEF-2DE8490E0A9D}"/>
    <cellStyle name="Normal 5 2 4 2 4 3" xfId="5633" xr:uid="{00000000-0005-0000-0000-0000EF180000}"/>
    <cellStyle name="Normal 5 2 4 2 4 3 2" xfId="14072" xr:uid="{006CDB15-356D-42D0-BC8D-D148686F0471}"/>
    <cellStyle name="Normal 5 2 4 2 4 4" xfId="9854" xr:uid="{AF4D36BA-73F8-46BD-ACE5-8A14BB8634BC}"/>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16630" xr:uid="{3831B2AD-971F-4507-82E6-AC67290866F7}"/>
    <cellStyle name="Normal 5 2 4 2 5 2 3" xfId="12412" xr:uid="{CC61362B-D64F-4143-A13E-CEC13D681882}"/>
    <cellStyle name="Normal 5 2 4 2 5 3" xfId="6046" xr:uid="{00000000-0005-0000-0000-0000F3180000}"/>
    <cellStyle name="Normal 5 2 4 2 5 3 2" xfId="14485" xr:uid="{1075A209-FE66-4F60-9F03-FC5859EC1439}"/>
    <cellStyle name="Normal 5 2 4 2 5 4" xfId="10267" xr:uid="{CC79D0E1-21A2-4C13-AB84-7E9835B52F88}"/>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17043" xr:uid="{352643B8-4128-4000-A9BE-16ABA20F2BA3}"/>
    <cellStyle name="Normal 5 2 4 2 6 2 3" xfId="12825" xr:uid="{5DEA6E28-950B-4C19-82A0-AC638C812E13}"/>
    <cellStyle name="Normal 5 2 4 2 6 3" xfId="6459" xr:uid="{00000000-0005-0000-0000-0000F7180000}"/>
    <cellStyle name="Normal 5 2 4 2 6 3 2" xfId="14898" xr:uid="{57965FA0-26E3-45A8-8F07-593A74D2CBEE}"/>
    <cellStyle name="Normal 5 2 4 2 6 4" xfId="10680" xr:uid="{5157D3B6-E9B1-46B4-8539-3D1D3BC4DF14}"/>
    <cellStyle name="Normal 5 2 4 2 7" xfId="2588" xr:uid="{00000000-0005-0000-0000-0000F8180000}"/>
    <cellStyle name="Normal 5 2 4 2 7 2" xfId="6872" xr:uid="{00000000-0005-0000-0000-0000F9180000}"/>
    <cellStyle name="Normal 5 2 4 2 7 2 2" xfId="15311" xr:uid="{E79A6809-6B45-4A04-9271-6ADF33E96A22}"/>
    <cellStyle name="Normal 5 2 4 2 7 3" xfId="11093" xr:uid="{5904EBDA-C38A-4653-843E-323B148834F5}"/>
    <cellStyle name="Normal 5 2 4 2 8" xfId="4807" xr:uid="{00000000-0005-0000-0000-0000FA180000}"/>
    <cellStyle name="Normal 5 2 4 2 8 2" xfId="13246" xr:uid="{6F4E867C-4EAE-4D44-8049-019D7B746D51}"/>
    <cellStyle name="Normal 5 2 4 2 9" xfId="9028" xr:uid="{132A76D3-EA82-497F-871D-1C2E7CCD8384}"/>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5806" xr:uid="{1BCDFEA5-3745-417A-9352-1EF335803FE1}"/>
    <cellStyle name="Normal 5 2 4 3 2 2 3" xfId="11588" xr:uid="{4CD41852-96AF-4EA5-914A-17679ED526E1}"/>
    <cellStyle name="Normal 5 2 4 3 2 3" xfId="5222" xr:uid="{00000000-0005-0000-0000-0000FF180000}"/>
    <cellStyle name="Normal 5 2 4 3 2 3 2" xfId="13661" xr:uid="{16C12D6D-2C92-43F6-9DD2-54E3FB3B7C7F}"/>
    <cellStyle name="Normal 5 2 4 3 2 4" xfId="9443" xr:uid="{E33B8BDD-1871-4116-8AFE-82D176392953}"/>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16219" xr:uid="{B7E3BC29-5DE8-4F99-BD37-7EF48DBA6385}"/>
    <cellStyle name="Normal 5 2 4 3 3 2 3" xfId="12001" xr:uid="{F4D23316-0B61-4D3F-9D2C-0A42B464EBC0}"/>
    <cellStyle name="Normal 5 2 4 3 3 3" xfId="5635" xr:uid="{00000000-0005-0000-0000-000003190000}"/>
    <cellStyle name="Normal 5 2 4 3 3 3 2" xfId="14074" xr:uid="{737F6F98-C144-44E3-91BE-6FFC28E55FA4}"/>
    <cellStyle name="Normal 5 2 4 3 3 4" xfId="9856" xr:uid="{B0DBDB75-84F0-4F51-B032-F958FC9B67F7}"/>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16632" xr:uid="{0F988E3F-B761-4376-9FB3-E64F842C9669}"/>
    <cellStyle name="Normal 5 2 4 3 4 2 3" xfId="12414" xr:uid="{3BD680FD-F831-46E1-B43B-CD6E9A089472}"/>
    <cellStyle name="Normal 5 2 4 3 4 3" xfId="6048" xr:uid="{00000000-0005-0000-0000-000007190000}"/>
    <cellStyle name="Normal 5 2 4 3 4 3 2" xfId="14487" xr:uid="{A7156427-E798-4694-871D-1DB9AAAE8C64}"/>
    <cellStyle name="Normal 5 2 4 3 4 4" xfId="10269" xr:uid="{6687BBFB-B2AD-496E-B9CE-B5FAE003ACF0}"/>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17045" xr:uid="{F984BB27-1CB0-40B5-B490-18D52E8AC0F8}"/>
    <cellStyle name="Normal 5 2 4 3 5 2 3" xfId="12827" xr:uid="{2A47BB48-2C0A-4982-8566-C8452C55A20C}"/>
    <cellStyle name="Normal 5 2 4 3 5 3" xfId="6461" xr:uid="{00000000-0005-0000-0000-00000B190000}"/>
    <cellStyle name="Normal 5 2 4 3 5 3 2" xfId="14900" xr:uid="{167C9CF0-DEC2-4AF0-BC06-2C0BF2555819}"/>
    <cellStyle name="Normal 5 2 4 3 5 4" xfId="10682" xr:uid="{1E764F8F-B77D-4F68-940A-ED3BC57187FD}"/>
    <cellStyle name="Normal 5 2 4 3 6" xfId="2590" xr:uid="{00000000-0005-0000-0000-00000C190000}"/>
    <cellStyle name="Normal 5 2 4 3 6 2" xfId="6874" xr:uid="{00000000-0005-0000-0000-00000D190000}"/>
    <cellStyle name="Normal 5 2 4 3 6 2 2" xfId="15313" xr:uid="{688BC38F-EC9D-4137-AD42-E7EDC523A680}"/>
    <cellStyle name="Normal 5 2 4 3 6 3" xfId="11095" xr:uid="{75F0F72D-B0CB-4507-A3B4-74E964394AC0}"/>
    <cellStyle name="Normal 5 2 4 3 7" xfId="4809" xr:uid="{00000000-0005-0000-0000-00000E190000}"/>
    <cellStyle name="Normal 5 2 4 3 7 2" xfId="13248" xr:uid="{16B44DE6-9188-451D-B6CA-27A507DC395A}"/>
    <cellStyle name="Normal 5 2 4 3 8" xfId="9030" xr:uid="{4D712BDB-5B0D-4C8C-846F-BCD043CA2487}"/>
    <cellStyle name="Normal 5 2 4 4" xfId="906" xr:uid="{00000000-0005-0000-0000-00000F190000}"/>
    <cellStyle name="Normal 5 2 4 4 2" xfId="3141" xr:uid="{00000000-0005-0000-0000-000010190000}"/>
    <cellStyle name="Normal 5 2 4 4 2 2" xfId="7364" xr:uid="{00000000-0005-0000-0000-000011190000}"/>
    <cellStyle name="Normal 5 2 4 4 2 2 2" xfId="15803" xr:uid="{55800FF4-5D43-48B7-9A43-595B1AE55704}"/>
    <cellStyle name="Normal 5 2 4 4 2 3" xfId="11585" xr:uid="{EE473E41-8D85-40FB-B64E-7C71F3687EC6}"/>
    <cellStyle name="Normal 5 2 4 4 3" xfId="5219" xr:uid="{00000000-0005-0000-0000-000012190000}"/>
    <cellStyle name="Normal 5 2 4 4 3 2" xfId="13658" xr:uid="{39A4D447-E5E5-4CFB-AECD-3033921C28EC}"/>
    <cellStyle name="Normal 5 2 4 4 4" xfId="9440" xr:uid="{40FFB047-27FD-46C2-BD8F-5D347263B744}"/>
    <cellStyle name="Normal 5 2 4 5" xfId="1324" xr:uid="{00000000-0005-0000-0000-000013190000}"/>
    <cellStyle name="Normal 5 2 4 5 2" xfId="3554" xr:uid="{00000000-0005-0000-0000-000014190000}"/>
    <cellStyle name="Normal 5 2 4 5 2 2" xfId="7777" xr:uid="{00000000-0005-0000-0000-000015190000}"/>
    <cellStyle name="Normal 5 2 4 5 2 2 2" xfId="16216" xr:uid="{DB17D25C-8643-4F37-A4A5-70FC1C40FAF1}"/>
    <cellStyle name="Normal 5 2 4 5 2 3" xfId="11998" xr:uid="{4C9C9673-7C5B-425A-95AD-A7EA4C38A0BA}"/>
    <cellStyle name="Normal 5 2 4 5 3" xfId="5632" xr:uid="{00000000-0005-0000-0000-000016190000}"/>
    <cellStyle name="Normal 5 2 4 5 3 2" xfId="14071" xr:uid="{30345B70-69E9-4D4E-8628-9D46F89FB9D8}"/>
    <cellStyle name="Normal 5 2 4 5 4" xfId="9853" xr:uid="{042DD1F5-63D9-4DFD-AB59-9D7A7411778B}"/>
    <cellStyle name="Normal 5 2 4 6" xfId="1737" xr:uid="{00000000-0005-0000-0000-000017190000}"/>
    <cellStyle name="Normal 5 2 4 6 2" xfId="3967" xr:uid="{00000000-0005-0000-0000-000018190000}"/>
    <cellStyle name="Normal 5 2 4 6 2 2" xfId="8190" xr:uid="{00000000-0005-0000-0000-000019190000}"/>
    <cellStyle name="Normal 5 2 4 6 2 2 2" xfId="16629" xr:uid="{EE63717C-50BC-46DB-B408-35D56ECF3095}"/>
    <cellStyle name="Normal 5 2 4 6 2 3" xfId="12411" xr:uid="{2EA509BA-8949-416B-A5EB-76E51A13FAB7}"/>
    <cellStyle name="Normal 5 2 4 6 3" xfId="6045" xr:uid="{00000000-0005-0000-0000-00001A190000}"/>
    <cellStyle name="Normal 5 2 4 6 3 2" xfId="14484" xr:uid="{6032F536-F83B-4BF0-8171-23F072520E12}"/>
    <cellStyle name="Normal 5 2 4 6 4" xfId="10266" xr:uid="{0975EE2F-6774-4169-9FB8-3CEC191DA267}"/>
    <cellStyle name="Normal 5 2 4 7" xfId="2151" xr:uid="{00000000-0005-0000-0000-00001B190000}"/>
    <cellStyle name="Normal 5 2 4 7 2" xfId="4380" xr:uid="{00000000-0005-0000-0000-00001C190000}"/>
    <cellStyle name="Normal 5 2 4 7 2 2" xfId="8603" xr:uid="{00000000-0005-0000-0000-00001D190000}"/>
    <cellStyle name="Normal 5 2 4 7 2 2 2" xfId="17042" xr:uid="{48396B56-3FE0-43D7-84C4-4E492D3DC4D4}"/>
    <cellStyle name="Normal 5 2 4 7 2 3" xfId="12824" xr:uid="{9F7CD4F6-8B58-44A7-B7B4-6EB610685A2D}"/>
    <cellStyle name="Normal 5 2 4 7 3" xfId="6458" xr:uid="{00000000-0005-0000-0000-00001E190000}"/>
    <cellStyle name="Normal 5 2 4 7 3 2" xfId="14897" xr:uid="{3149C2D6-A5C3-4650-8057-606D5334CE5D}"/>
    <cellStyle name="Normal 5 2 4 7 4" xfId="10679" xr:uid="{3422FBF5-5DC3-40C2-8970-F31FC81BCD05}"/>
    <cellStyle name="Normal 5 2 4 8" xfId="2587" xr:uid="{00000000-0005-0000-0000-00001F190000}"/>
    <cellStyle name="Normal 5 2 4 8 2" xfId="6871" xr:uid="{00000000-0005-0000-0000-000020190000}"/>
    <cellStyle name="Normal 5 2 4 8 2 2" xfId="15310" xr:uid="{440A2612-30F3-4040-8C5F-F17EA0A74788}"/>
    <cellStyle name="Normal 5 2 4 8 3" xfId="11092" xr:uid="{45C0CC6A-86FE-4BD7-A263-A5AFF36E46E2}"/>
    <cellStyle name="Normal 5 2 4 9" xfId="4806" xr:uid="{00000000-0005-0000-0000-000021190000}"/>
    <cellStyle name="Normal 5 2 4 9 2" xfId="13245" xr:uid="{5BE0FD41-C651-44E9-AC3F-E477DE1E5BF6}"/>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5808" xr:uid="{4CFF729A-BE44-4DBB-BCA1-38F48519AC41}"/>
    <cellStyle name="Normal 5 2 5 2 2 2 3" xfId="11590" xr:uid="{A40444EB-EF18-4263-87CF-7D3A26732FFF}"/>
    <cellStyle name="Normal 5 2 5 2 2 3" xfId="5224" xr:uid="{00000000-0005-0000-0000-000027190000}"/>
    <cellStyle name="Normal 5 2 5 2 2 3 2" xfId="13663" xr:uid="{77658F05-C6AE-4653-9C68-A6B6B90F665B}"/>
    <cellStyle name="Normal 5 2 5 2 2 4" xfId="9445" xr:uid="{AF8D1A66-3F2C-45EB-B1DF-8D5368DDEDA2}"/>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16221" xr:uid="{1E92CE69-2E56-4995-818F-7584EDE43CB1}"/>
    <cellStyle name="Normal 5 2 5 2 3 2 3" xfId="12003" xr:uid="{68DA732C-9B6C-4898-8C96-B08182E512B6}"/>
    <cellStyle name="Normal 5 2 5 2 3 3" xfId="5637" xr:uid="{00000000-0005-0000-0000-00002B190000}"/>
    <cellStyle name="Normal 5 2 5 2 3 3 2" xfId="14076" xr:uid="{C0525833-26CD-4205-A04D-8D2AA8E4DCEB}"/>
    <cellStyle name="Normal 5 2 5 2 3 4" xfId="9858" xr:uid="{41A18A21-DF85-4033-BF80-31F66E28DC50}"/>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16634" xr:uid="{5F673216-62CE-4427-8028-BACC52679C73}"/>
    <cellStyle name="Normal 5 2 5 2 4 2 3" xfId="12416" xr:uid="{47C5C4B9-1C54-44EC-B854-3AAC0AAF34FB}"/>
    <cellStyle name="Normal 5 2 5 2 4 3" xfId="6050" xr:uid="{00000000-0005-0000-0000-00002F190000}"/>
    <cellStyle name="Normal 5 2 5 2 4 3 2" xfId="14489" xr:uid="{F2554A09-09AE-4DA4-89EE-6ABC6CD4A079}"/>
    <cellStyle name="Normal 5 2 5 2 4 4" xfId="10271" xr:uid="{5544B58E-BFE6-4758-ABFE-605FA782E889}"/>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17047" xr:uid="{84AE2E68-798C-45FA-8583-9ECE191CDDC5}"/>
    <cellStyle name="Normal 5 2 5 2 5 2 3" xfId="12829" xr:uid="{514EE675-8832-41EE-930E-ED4436D2DBC5}"/>
    <cellStyle name="Normal 5 2 5 2 5 3" xfId="6463" xr:uid="{00000000-0005-0000-0000-000033190000}"/>
    <cellStyle name="Normal 5 2 5 2 5 3 2" xfId="14902" xr:uid="{3F153F26-201E-44B1-8D59-EE2AE73C09EC}"/>
    <cellStyle name="Normal 5 2 5 2 5 4" xfId="10684" xr:uid="{F8FE4719-18E8-48C6-AAF8-32D17D3623DE}"/>
    <cellStyle name="Normal 5 2 5 2 6" xfId="2592" xr:uid="{00000000-0005-0000-0000-000034190000}"/>
    <cellStyle name="Normal 5 2 5 2 6 2" xfId="6876" xr:uid="{00000000-0005-0000-0000-000035190000}"/>
    <cellStyle name="Normal 5 2 5 2 6 2 2" xfId="15315" xr:uid="{31136265-8C17-4A80-B0D5-2213E58463FD}"/>
    <cellStyle name="Normal 5 2 5 2 6 3" xfId="11097" xr:uid="{7F251B74-B1FF-4ED1-9A95-34D96712DD54}"/>
    <cellStyle name="Normal 5 2 5 2 7" xfId="4811" xr:uid="{00000000-0005-0000-0000-000036190000}"/>
    <cellStyle name="Normal 5 2 5 2 7 2" xfId="13250" xr:uid="{1BABE29D-7E17-4FA5-9166-7E0764D3300F}"/>
    <cellStyle name="Normal 5 2 5 2 8" xfId="9032" xr:uid="{2E914BB5-764D-4B6C-A8B7-AAA945AA939F}"/>
    <cellStyle name="Normal 5 2 5 3" xfId="910" xr:uid="{00000000-0005-0000-0000-000037190000}"/>
    <cellStyle name="Normal 5 2 5 3 2" xfId="3145" xr:uid="{00000000-0005-0000-0000-000038190000}"/>
    <cellStyle name="Normal 5 2 5 3 2 2" xfId="7368" xr:uid="{00000000-0005-0000-0000-000039190000}"/>
    <cellStyle name="Normal 5 2 5 3 2 2 2" xfId="15807" xr:uid="{AB506C14-8E33-4B2E-9F0E-432DFFBC1808}"/>
    <cellStyle name="Normal 5 2 5 3 2 3" xfId="11589" xr:uid="{890E48E6-7DFD-4CED-9CE4-B45030DDCAC9}"/>
    <cellStyle name="Normal 5 2 5 3 3" xfId="5223" xr:uid="{00000000-0005-0000-0000-00003A190000}"/>
    <cellStyle name="Normal 5 2 5 3 3 2" xfId="13662" xr:uid="{FF9BC77A-5741-4D5E-B277-6C54EC1C58C2}"/>
    <cellStyle name="Normal 5 2 5 3 4" xfId="9444" xr:uid="{98185550-0512-47EC-A6FA-B0870C647BB2}"/>
    <cellStyle name="Normal 5 2 5 4" xfId="1328" xr:uid="{00000000-0005-0000-0000-00003B190000}"/>
    <cellStyle name="Normal 5 2 5 4 2" xfId="3558" xr:uid="{00000000-0005-0000-0000-00003C190000}"/>
    <cellStyle name="Normal 5 2 5 4 2 2" xfId="7781" xr:uid="{00000000-0005-0000-0000-00003D190000}"/>
    <cellStyle name="Normal 5 2 5 4 2 2 2" xfId="16220" xr:uid="{C659F5F7-2BD0-465A-91DE-A43907F2D877}"/>
    <cellStyle name="Normal 5 2 5 4 2 3" xfId="12002" xr:uid="{C06335EA-01AD-4319-9FC2-D1198BAC3F2A}"/>
    <cellStyle name="Normal 5 2 5 4 3" xfId="5636" xr:uid="{00000000-0005-0000-0000-00003E190000}"/>
    <cellStyle name="Normal 5 2 5 4 3 2" xfId="14075" xr:uid="{29E625EE-4C65-4C33-B451-4F7AB621F6C3}"/>
    <cellStyle name="Normal 5 2 5 4 4" xfId="9857" xr:uid="{CC167F15-42E7-4D35-9E61-585E6F3D6CE3}"/>
    <cellStyle name="Normal 5 2 5 5" xfId="1741" xr:uid="{00000000-0005-0000-0000-00003F190000}"/>
    <cellStyle name="Normal 5 2 5 5 2" xfId="3971" xr:uid="{00000000-0005-0000-0000-000040190000}"/>
    <cellStyle name="Normal 5 2 5 5 2 2" xfId="8194" xr:uid="{00000000-0005-0000-0000-000041190000}"/>
    <cellStyle name="Normal 5 2 5 5 2 2 2" xfId="16633" xr:uid="{33EBEC00-F7F6-4AE2-AAEB-DD5BA1F3B349}"/>
    <cellStyle name="Normal 5 2 5 5 2 3" xfId="12415" xr:uid="{0CFC0DDB-2CA7-4386-8278-9F7BBDCCD095}"/>
    <cellStyle name="Normal 5 2 5 5 3" xfId="6049" xr:uid="{00000000-0005-0000-0000-000042190000}"/>
    <cellStyle name="Normal 5 2 5 5 3 2" xfId="14488" xr:uid="{854475D4-44BE-4B31-A22A-30B4DF986A70}"/>
    <cellStyle name="Normal 5 2 5 5 4" xfId="10270" xr:uid="{B9FF9A7D-F254-4C5A-9AB9-991155AF2014}"/>
    <cellStyle name="Normal 5 2 5 6" xfId="2155" xr:uid="{00000000-0005-0000-0000-000043190000}"/>
    <cellStyle name="Normal 5 2 5 6 2" xfId="4384" xr:uid="{00000000-0005-0000-0000-000044190000}"/>
    <cellStyle name="Normal 5 2 5 6 2 2" xfId="8607" xr:uid="{00000000-0005-0000-0000-000045190000}"/>
    <cellStyle name="Normal 5 2 5 6 2 2 2" xfId="17046" xr:uid="{AECAF2A8-775B-499A-90E7-3AB75ABAFB6C}"/>
    <cellStyle name="Normal 5 2 5 6 2 3" xfId="12828" xr:uid="{861AC560-15AD-4C99-A92E-DB07A386496E}"/>
    <cellStyle name="Normal 5 2 5 6 3" xfId="6462" xr:uid="{00000000-0005-0000-0000-000046190000}"/>
    <cellStyle name="Normal 5 2 5 6 3 2" xfId="14901" xr:uid="{F945C38F-4BD1-495F-A7BE-60A46D8AE2D9}"/>
    <cellStyle name="Normal 5 2 5 6 4" xfId="10683" xr:uid="{3A9ACA7C-F23B-4FE7-91E4-F42766A1D1CF}"/>
    <cellStyle name="Normal 5 2 5 7" xfId="2591" xr:uid="{00000000-0005-0000-0000-000047190000}"/>
    <cellStyle name="Normal 5 2 5 7 2" xfId="6875" xr:uid="{00000000-0005-0000-0000-000048190000}"/>
    <cellStyle name="Normal 5 2 5 7 2 2" xfId="15314" xr:uid="{F375625F-0B74-4039-A7F7-0F8AB3A0DB21}"/>
    <cellStyle name="Normal 5 2 5 7 3" xfId="11096" xr:uid="{E8033B36-4271-4C09-9D20-3DCD8A3C3DEA}"/>
    <cellStyle name="Normal 5 2 5 8" xfId="4810" xr:uid="{00000000-0005-0000-0000-000049190000}"/>
    <cellStyle name="Normal 5 2 5 8 2" xfId="13249" xr:uid="{2838D977-572B-4D04-8238-E409FA0F075A}"/>
    <cellStyle name="Normal 5 2 5 9" xfId="9031" xr:uid="{95B2CE84-473C-41F9-9776-3D77AB7E86EE}"/>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15809" xr:uid="{8B8BA882-5D0C-42B7-9769-6CC3E25BD398}"/>
    <cellStyle name="Normal 5 2 6 2 2 3" xfId="11591" xr:uid="{86430337-6B65-407F-8192-AAD24DD6F9B8}"/>
    <cellStyle name="Normal 5 2 6 2 3" xfId="5225" xr:uid="{00000000-0005-0000-0000-00004E190000}"/>
    <cellStyle name="Normal 5 2 6 2 3 2" xfId="13664" xr:uid="{50C724B9-8A7B-4ED1-B5EB-8A01DBEAE08E}"/>
    <cellStyle name="Normal 5 2 6 2 4" xfId="9446" xr:uid="{E8A64692-2633-44EA-B9E4-C5A753F7331E}"/>
    <cellStyle name="Normal 5 2 6 3" xfId="1330" xr:uid="{00000000-0005-0000-0000-00004F190000}"/>
    <cellStyle name="Normal 5 2 6 3 2" xfId="3560" xr:uid="{00000000-0005-0000-0000-000050190000}"/>
    <cellStyle name="Normal 5 2 6 3 2 2" xfId="7783" xr:uid="{00000000-0005-0000-0000-000051190000}"/>
    <cellStyle name="Normal 5 2 6 3 2 2 2" xfId="16222" xr:uid="{12A34D4D-EA22-48A4-8424-1BEBD16097C3}"/>
    <cellStyle name="Normal 5 2 6 3 2 3" xfId="12004" xr:uid="{A091B1E5-E791-43E2-AC6E-7DF570E6FEA4}"/>
    <cellStyle name="Normal 5 2 6 3 3" xfId="5638" xr:uid="{00000000-0005-0000-0000-000052190000}"/>
    <cellStyle name="Normal 5 2 6 3 3 2" xfId="14077" xr:uid="{1F1E7DB2-1C44-4FE8-8EFB-5EE5C465238A}"/>
    <cellStyle name="Normal 5 2 6 3 4" xfId="9859" xr:uid="{73570E24-6DAB-44D8-9085-8FAE5083CA63}"/>
    <cellStyle name="Normal 5 2 6 4" xfId="1743" xr:uid="{00000000-0005-0000-0000-000053190000}"/>
    <cellStyle name="Normal 5 2 6 4 2" xfId="3973" xr:uid="{00000000-0005-0000-0000-000054190000}"/>
    <cellStyle name="Normal 5 2 6 4 2 2" xfId="8196" xr:uid="{00000000-0005-0000-0000-000055190000}"/>
    <cellStyle name="Normal 5 2 6 4 2 2 2" xfId="16635" xr:uid="{62C0D5C1-0426-44B6-B8EB-8632CA34CDB5}"/>
    <cellStyle name="Normal 5 2 6 4 2 3" xfId="12417" xr:uid="{3E102340-2AF8-4564-9AE7-B68CABF2B140}"/>
    <cellStyle name="Normal 5 2 6 4 3" xfId="6051" xr:uid="{00000000-0005-0000-0000-000056190000}"/>
    <cellStyle name="Normal 5 2 6 4 3 2" xfId="14490" xr:uid="{36917D3F-D7B1-4767-8249-BB8F59FA7B2A}"/>
    <cellStyle name="Normal 5 2 6 4 4" xfId="10272" xr:uid="{A508C7C9-2177-4306-8404-D96F657717D8}"/>
    <cellStyle name="Normal 5 2 6 5" xfId="2157" xr:uid="{00000000-0005-0000-0000-000057190000}"/>
    <cellStyle name="Normal 5 2 6 5 2" xfId="4386" xr:uid="{00000000-0005-0000-0000-000058190000}"/>
    <cellStyle name="Normal 5 2 6 5 2 2" xfId="8609" xr:uid="{00000000-0005-0000-0000-000059190000}"/>
    <cellStyle name="Normal 5 2 6 5 2 2 2" xfId="17048" xr:uid="{0BCCDC43-4E5D-4EAF-B305-118587A2DBFC}"/>
    <cellStyle name="Normal 5 2 6 5 2 3" xfId="12830" xr:uid="{C39FC4DA-3482-44B2-8D22-11AA71358B9A}"/>
    <cellStyle name="Normal 5 2 6 5 3" xfId="6464" xr:uid="{00000000-0005-0000-0000-00005A190000}"/>
    <cellStyle name="Normal 5 2 6 5 3 2" xfId="14903" xr:uid="{3BF57CE6-C370-4AA7-A2AF-D5049E2E7D4A}"/>
    <cellStyle name="Normal 5 2 6 5 4" xfId="10685" xr:uid="{38FD2B7B-7E29-4DA4-809E-4758159A50AE}"/>
    <cellStyle name="Normal 5 2 6 6" xfId="2593" xr:uid="{00000000-0005-0000-0000-00005B190000}"/>
    <cellStyle name="Normal 5 2 6 6 2" xfId="6877" xr:uid="{00000000-0005-0000-0000-00005C190000}"/>
    <cellStyle name="Normal 5 2 6 6 2 2" xfId="15316" xr:uid="{C4DF6E30-420A-4CF8-83DF-4C1A18961547}"/>
    <cellStyle name="Normal 5 2 6 6 3" xfId="11098" xr:uid="{2C90403A-9E30-4D4D-A78C-4FC8C460FE56}"/>
    <cellStyle name="Normal 5 2 6 7" xfId="4812" xr:uid="{00000000-0005-0000-0000-00005D190000}"/>
    <cellStyle name="Normal 5 2 6 7 2" xfId="13251" xr:uid="{A610F33F-CA99-40A6-8546-CE202CC86F73}"/>
    <cellStyle name="Normal 5 2 6 8" xfId="9033" xr:uid="{6BDF3AFE-F7EE-4C89-9D72-F0E117A63AD3}"/>
    <cellStyle name="Normal 5 2 7" xfId="881" xr:uid="{00000000-0005-0000-0000-00005E190000}"/>
    <cellStyle name="Normal 5 2 7 2" xfId="3116" xr:uid="{00000000-0005-0000-0000-00005F190000}"/>
    <cellStyle name="Normal 5 2 7 2 2" xfId="7339" xr:uid="{00000000-0005-0000-0000-000060190000}"/>
    <cellStyle name="Normal 5 2 7 2 2 2" xfId="15778" xr:uid="{FF6E0D44-A956-4A8C-9D7C-9A97D88A437C}"/>
    <cellStyle name="Normal 5 2 7 2 3" xfId="11560" xr:uid="{E28E1ED2-4865-437C-BE1E-4468F6EBF82B}"/>
    <cellStyle name="Normal 5 2 7 3" xfId="5194" xr:uid="{00000000-0005-0000-0000-000061190000}"/>
    <cellStyle name="Normal 5 2 7 3 2" xfId="13633" xr:uid="{CDF5C07B-52E8-4103-8D78-FC58667C7AF1}"/>
    <cellStyle name="Normal 5 2 7 4" xfId="9415" xr:uid="{5B5B2AB4-1CF4-441D-9688-B17B2FA06F4B}"/>
    <cellStyle name="Normal 5 2 8" xfId="1299" xr:uid="{00000000-0005-0000-0000-000062190000}"/>
    <cellStyle name="Normal 5 2 8 2" xfId="3529" xr:uid="{00000000-0005-0000-0000-000063190000}"/>
    <cellStyle name="Normal 5 2 8 2 2" xfId="7752" xr:uid="{00000000-0005-0000-0000-000064190000}"/>
    <cellStyle name="Normal 5 2 8 2 2 2" xfId="16191" xr:uid="{F2512D9C-63C0-4E62-97E1-5CF2A0BA873F}"/>
    <cellStyle name="Normal 5 2 8 2 3" xfId="11973" xr:uid="{64761864-6B41-4F3A-BA69-D90CF67DBB10}"/>
    <cellStyle name="Normal 5 2 8 3" xfId="5607" xr:uid="{00000000-0005-0000-0000-000065190000}"/>
    <cellStyle name="Normal 5 2 8 3 2" xfId="14046" xr:uid="{86C4BF8C-4357-4B5F-BE89-B11CFDAEED5C}"/>
    <cellStyle name="Normal 5 2 8 4" xfId="9828" xr:uid="{44CC7F20-0C67-4B87-B691-3EAA9F452C18}"/>
    <cellStyle name="Normal 5 2 9" xfId="1712" xr:uid="{00000000-0005-0000-0000-000066190000}"/>
    <cellStyle name="Normal 5 2 9 2" xfId="3942" xr:uid="{00000000-0005-0000-0000-000067190000}"/>
    <cellStyle name="Normal 5 2 9 2 2" xfId="8165" xr:uid="{00000000-0005-0000-0000-000068190000}"/>
    <cellStyle name="Normal 5 2 9 2 2 2" xfId="16604" xr:uid="{2734AD0B-2493-451C-AADB-B4D4D165FBF9}"/>
    <cellStyle name="Normal 5 2 9 2 3" xfId="12386" xr:uid="{35317FC0-5248-40D2-9547-E13273C1081F}"/>
    <cellStyle name="Normal 5 2 9 3" xfId="6020" xr:uid="{00000000-0005-0000-0000-000069190000}"/>
    <cellStyle name="Normal 5 2 9 3 2" xfId="14459" xr:uid="{BE304606-79CA-4FEE-A5C1-A6DDDB416890}"/>
    <cellStyle name="Normal 5 2 9 4" xfId="10241" xr:uid="{8731CDEF-D899-47AF-94C7-CC40FE342D6A}"/>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17049" xr:uid="{8CC2FEF7-AFA8-443E-9946-E54D11E440C4}"/>
    <cellStyle name="Normal 5 3 10 2 3" xfId="12831" xr:uid="{E3934D99-5958-4C73-B411-12A0DD32DC9C}"/>
    <cellStyle name="Normal 5 3 10 3" xfId="6465" xr:uid="{00000000-0005-0000-0000-00006E190000}"/>
    <cellStyle name="Normal 5 3 10 3 2" xfId="14904" xr:uid="{4156BCA7-86C2-4150-9538-603B02D5D86D}"/>
    <cellStyle name="Normal 5 3 10 4" xfId="10686" xr:uid="{7EB056B1-E7BA-48E6-9F06-7F692F961C27}"/>
    <cellStyle name="Normal 5 3 11" xfId="2594" xr:uid="{00000000-0005-0000-0000-00006F190000}"/>
    <cellStyle name="Normal 5 3 11 2" xfId="6878" xr:uid="{00000000-0005-0000-0000-000070190000}"/>
    <cellStyle name="Normal 5 3 11 2 2" xfId="15317" xr:uid="{B3D8E2CB-BB57-45F9-BB63-3BA8346B4CA1}"/>
    <cellStyle name="Normal 5 3 11 3" xfId="11099" xr:uid="{F263F278-AC9D-4C68-A9EF-2D7F9BD368B9}"/>
    <cellStyle name="Normal 5 3 12" xfId="4813" xr:uid="{00000000-0005-0000-0000-000071190000}"/>
    <cellStyle name="Normal 5 3 12 2" xfId="13252" xr:uid="{67A360EB-4B57-43FF-A73D-B4BECC6BA669}"/>
    <cellStyle name="Normal 5 3 13" xfId="9034" xr:uid="{EC830D1A-DE45-4554-8706-0A83CEBB6C6C}"/>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13253" xr:uid="{EC46DA84-9D70-4C55-8CA6-17DE3177E2B1}"/>
    <cellStyle name="Normal 5 3 3 11" xfId="9035" xr:uid="{37913CA0-C6F1-4F0B-BC77-0F439F3881BE}"/>
    <cellStyle name="Normal 5 3 3 2" xfId="442" xr:uid="{00000000-0005-0000-0000-000076190000}"/>
    <cellStyle name="Normal 5 3 3 2 10" xfId="9036" xr:uid="{54030C0B-12E4-4E6D-B9E9-B10D5A17C319}"/>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5814" xr:uid="{6679DF67-AD4E-4FF4-B814-B5AF3A5C53C2}"/>
    <cellStyle name="Normal 5 3 3 2 2 2 2 2 3" xfId="11596" xr:uid="{E387301D-CB73-4EC2-B0FB-322B2D51F960}"/>
    <cellStyle name="Normal 5 3 3 2 2 2 2 3" xfId="5230" xr:uid="{00000000-0005-0000-0000-00007C190000}"/>
    <cellStyle name="Normal 5 3 3 2 2 2 2 3 2" xfId="13669" xr:uid="{BF446658-43E8-48FF-8ADF-112CB5EC8306}"/>
    <cellStyle name="Normal 5 3 3 2 2 2 2 4" xfId="9451" xr:uid="{C1C10F0A-6295-4170-A757-E2C3ADBCB839}"/>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16227" xr:uid="{C14BC8F6-4B46-4050-8910-2C2F6B3CE5EF}"/>
    <cellStyle name="Normal 5 3 3 2 2 2 3 2 3" xfId="12009" xr:uid="{F938832B-C06D-4E90-976C-330E45767AF9}"/>
    <cellStyle name="Normal 5 3 3 2 2 2 3 3" xfId="5643" xr:uid="{00000000-0005-0000-0000-000080190000}"/>
    <cellStyle name="Normal 5 3 3 2 2 2 3 3 2" xfId="14082" xr:uid="{FFF14AAB-EE6A-4FF0-A0B1-889BE3D0761F}"/>
    <cellStyle name="Normal 5 3 3 2 2 2 3 4" xfId="9864" xr:uid="{FB3BC849-DD6D-4165-814C-AE030EF719EF}"/>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16640" xr:uid="{CE06092F-95DD-4FCB-9CED-FEDE155D0147}"/>
    <cellStyle name="Normal 5 3 3 2 2 2 4 2 3" xfId="12422" xr:uid="{4AA0AE4C-19F1-4715-A2E1-8986B05D8DCC}"/>
    <cellStyle name="Normal 5 3 3 2 2 2 4 3" xfId="6056" xr:uid="{00000000-0005-0000-0000-000084190000}"/>
    <cellStyle name="Normal 5 3 3 2 2 2 4 3 2" xfId="14495" xr:uid="{4288C7FE-38A2-424A-A438-2D47AE9E80AE}"/>
    <cellStyle name="Normal 5 3 3 2 2 2 4 4" xfId="10277" xr:uid="{0C8C38BE-A179-4E8A-921A-D691A2A62EDB}"/>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17053" xr:uid="{CD46BDBF-3823-4ACC-AA5A-1E0146ABC061}"/>
    <cellStyle name="Normal 5 3 3 2 2 2 5 2 3" xfId="12835" xr:uid="{CAD39ABB-7A15-42AC-BA0D-EB68135DA585}"/>
    <cellStyle name="Normal 5 3 3 2 2 2 5 3" xfId="6469" xr:uid="{00000000-0005-0000-0000-000088190000}"/>
    <cellStyle name="Normal 5 3 3 2 2 2 5 3 2" xfId="14908" xr:uid="{2505AA3C-D2E2-4D0B-906F-6321CD1A62F6}"/>
    <cellStyle name="Normal 5 3 3 2 2 2 5 4" xfId="10690" xr:uid="{D0F9043B-FA51-4425-9CEE-6906F04C0398}"/>
    <cellStyle name="Normal 5 3 3 2 2 2 6" xfId="2598" xr:uid="{00000000-0005-0000-0000-000089190000}"/>
    <cellStyle name="Normal 5 3 3 2 2 2 6 2" xfId="6882" xr:uid="{00000000-0005-0000-0000-00008A190000}"/>
    <cellStyle name="Normal 5 3 3 2 2 2 6 2 2" xfId="15321" xr:uid="{349A7B46-5A64-46FF-9FB8-2C978B51132C}"/>
    <cellStyle name="Normal 5 3 3 2 2 2 6 3" xfId="11103" xr:uid="{29BB9FDF-2E76-4AE1-BA6F-827345B8FB1A}"/>
    <cellStyle name="Normal 5 3 3 2 2 2 7" xfId="4817" xr:uid="{00000000-0005-0000-0000-00008B190000}"/>
    <cellStyle name="Normal 5 3 3 2 2 2 7 2" xfId="13256" xr:uid="{91BC2BB5-4D50-497F-AFF9-D841AA1C2717}"/>
    <cellStyle name="Normal 5 3 3 2 2 2 8" xfId="9038" xr:uid="{311201B6-BA9D-4A75-8691-7B70BA605C81}"/>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5813" xr:uid="{2C3A0575-90B3-4F69-AE82-8D79AD155E45}"/>
    <cellStyle name="Normal 5 3 3 2 2 3 2 3" xfId="11595" xr:uid="{F4F7F94F-F28C-4452-AC9A-AD90D34F8467}"/>
    <cellStyle name="Normal 5 3 3 2 2 3 3" xfId="5229" xr:uid="{00000000-0005-0000-0000-00008F190000}"/>
    <cellStyle name="Normal 5 3 3 2 2 3 3 2" xfId="13668" xr:uid="{5674B3A1-7C66-46C5-8D48-279DDBC41548}"/>
    <cellStyle name="Normal 5 3 3 2 2 3 4" xfId="9450" xr:uid="{CCB66CD8-09C9-48A2-B09F-8A7684C4409D}"/>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16226" xr:uid="{8621F376-220B-4E14-985B-2A036BB778CC}"/>
    <cellStyle name="Normal 5 3 3 2 2 4 2 3" xfId="12008" xr:uid="{0CAE13BF-9E0E-49BD-A0FA-5A0C25E19530}"/>
    <cellStyle name="Normal 5 3 3 2 2 4 3" xfId="5642" xr:uid="{00000000-0005-0000-0000-000093190000}"/>
    <cellStyle name="Normal 5 3 3 2 2 4 3 2" xfId="14081" xr:uid="{CDB18776-401B-41BB-807A-688BE1BB7540}"/>
    <cellStyle name="Normal 5 3 3 2 2 4 4" xfId="9863" xr:uid="{8DF5AB55-C8D5-4EB6-A948-519AAC90E9AE}"/>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16639" xr:uid="{999D8986-7CC8-4F34-9C73-313C63A331E0}"/>
    <cellStyle name="Normal 5 3 3 2 2 5 2 3" xfId="12421" xr:uid="{F55BD297-E4EA-45D0-A969-0832BD4DDBC9}"/>
    <cellStyle name="Normal 5 3 3 2 2 5 3" xfId="6055" xr:uid="{00000000-0005-0000-0000-000097190000}"/>
    <cellStyle name="Normal 5 3 3 2 2 5 3 2" xfId="14494" xr:uid="{C39AE603-D0D2-4CD5-8933-E6969F06DC71}"/>
    <cellStyle name="Normal 5 3 3 2 2 5 4" xfId="10276" xr:uid="{724D1FEF-504B-4DC3-A988-C3E15440D1A6}"/>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17052" xr:uid="{90BBB668-604F-4CF0-919C-F16985F93406}"/>
    <cellStyle name="Normal 5 3 3 2 2 6 2 3" xfId="12834" xr:uid="{0BF19132-551F-44AB-8A82-79C5E0276330}"/>
    <cellStyle name="Normal 5 3 3 2 2 6 3" xfId="6468" xr:uid="{00000000-0005-0000-0000-00009B190000}"/>
    <cellStyle name="Normal 5 3 3 2 2 6 3 2" xfId="14907" xr:uid="{3440C84F-67AF-42E0-B4F2-D5B6C87B9A25}"/>
    <cellStyle name="Normal 5 3 3 2 2 6 4" xfId="10689" xr:uid="{0E8747E1-666D-4DC1-8F1F-D8986AF0972E}"/>
    <cellStyle name="Normal 5 3 3 2 2 7" xfId="2597" xr:uid="{00000000-0005-0000-0000-00009C190000}"/>
    <cellStyle name="Normal 5 3 3 2 2 7 2" xfId="6881" xr:uid="{00000000-0005-0000-0000-00009D190000}"/>
    <cellStyle name="Normal 5 3 3 2 2 7 2 2" xfId="15320" xr:uid="{3DD0CA59-72CB-45A2-9D2D-116EA3D745BA}"/>
    <cellStyle name="Normal 5 3 3 2 2 7 3" xfId="11102" xr:uid="{DEF10929-B27D-4B34-8C20-C23D9C686A18}"/>
    <cellStyle name="Normal 5 3 3 2 2 8" xfId="4816" xr:uid="{00000000-0005-0000-0000-00009E190000}"/>
    <cellStyle name="Normal 5 3 3 2 2 8 2" xfId="13255" xr:uid="{075FB31F-C7BF-4AF5-AC22-C5FFFD0910DF}"/>
    <cellStyle name="Normal 5 3 3 2 2 9" xfId="9037" xr:uid="{9BA2D4F5-C458-402C-BF6A-BD555F9B65BD}"/>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5815" xr:uid="{08359982-B4BE-42D2-AC6E-DF335B177597}"/>
    <cellStyle name="Normal 5 3 3 2 3 2 2 3" xfId="11597" xr:uid="{B7D3D2B3-F147-4085-AE10-188985567928}"/>
    <cellStyle name="Normal 5 3 3 2 3 2 3" xfId="5231" xr:uid="{00000000-0005-0000-0000-0000A3190000}"/>
    <cellStyle name="Normal 5 3 3 2 3 2 3 2" xfId="13670" xr:uid="{F468FF30-F9FF-4C38-9AD8-0BFFD2716633}"/>
    <cellStyle name="Normal 5 3 3 2 3 2 4" xfId="9452" xr:uid="{BDDECD8D-7FB1-4B55-AA27-26A0CD85BD34}"/>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16228" xr:uid="{25438CDD-9C35-4AA0-8A34-A512CA96697F}"/>
    <cellStyle name="Normal 5 3 3 2 3 3 2 3" xfId="12010" xr:uid="{916B4057-E838-47C9-843E-91BAF418C52C}"/>
    <cellStyle name="Normal 5 3 3 2 3 3 3" xfId="5644" xr:uid="{00000000-0005-0000-0000-0000A7190000}"/>
    <cellStyle name="Normal 5 3 3 2 3 3 3 2" xfId="14083" xr:uid="{E53F7876-B391-405A-B7A5-12728CF2870F}"/>
    <cellStyle name="Normal 5 3 3 2 3 3 4" xfId="9865" xr:uid="{C93C5A84-EB4F-44E6-89EA-CC7DC300200D}"/>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16641" xr:uid="{48C8677E-FA61-40BE-8F4E-B7C9205E95EA}"/>
    <cellStyle name="Normal 5 3 3 2 3 4 2 3" xfId="12423" xr:uid="{CACEE2AA-57EA-46C4-B594-9CF06C67B674}"/>
    <cellStyle name="Normal 5 3 3 2 3 4 3" xfId="6057" xr:uid="{00000000-0005-0000-0000-0000AB190000}"/>
    <cellStyle name="Normal 5 3 3 2 3 4 3 2" xfId="14496" xr:uid="{9D2EEE52-BE24-41BD-B103-B696C472A859}"/>
    <cellStyle name="Normal 5 3 3 2 3 4 4" xfId="10278" xr:uid="{7652D4A9-413A-482C-BB77-BCD3734EEDCC}"/>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17054" xr:uid="{A885F26B-0683-478A-B090-E098A5679B09}"/>
    <cellStyle name="Normal 5 3 3 2 3 5 2 3" xfId="12836" xr:uid="{CE7E194C-8E24-4422-96FE-25A71A9DC6DE}"/>
    <cellStyle name="Normal 5 3 3 2 3 5 3" xfId="6470" xr:uid="{00000000-0005-0000-0000-0000AF190000}"/>
    <cellStyle name="Normal 5 3 3 2 3 5 3 2" xfId="14909" xr:uid="{3551E789-38DD-4C82-8821-2649DA4924F5}"/>
    <cellStyle name="Normal 5 3 3 2 3 5 4" xfId="10691" xr:uid="{43A41E72-BF98-4D54-A87A-52D4A55F4350}"/>
    <cellStyle name="Normal 5 3 3 2 3 6" xfId="2599" xr:uid="{00000000-0005-0000-0000-0000B0190000}"/>
    <cellStyle name="Normal 5 3 3 2 3 6 2" xfId="6883" xr:uid="{00000000-0005-0000-0000-0000B1190000}"/>
    <cellStyle name="Normal 5 3 3 2 3 6 2 2" xfId="15322" xr:uid="{D4C2F725-6631-4E5A-9B33-CAEF19BC9171}"/>
    <cellStyle name="Normal 5 3 3 2 3 6 3" xfId="11104" xr:uid="{4953B5EB-7FE4-40AE-9439-050D6E2EF436}"/>
    <cellStyle name="Normal 5 3 3 2 3 7" xfId="4818" xr:uid="{00000000-0005-0000-0000-0000B2190000}"/>
    <cellStyle name="Normal 5 3 3 2 3 7 2" xfId="13257" xr:uid="{C538F1C5-7705-4DE3-A615-DE538F5BF534}"/>
    <cellStyle name="Normal 5 3 3 2 3 8" xfId="9039" xr:uid="{1563CEBE-7161-4DAA-9164-E3C94AB68616}"/>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5812" xr:uid="{37A299E0-AAC8-478B-9397-904BF4E33A8F}"/>
    <cellStyle name="Normal 5 3 3 2 4 2 3" xfId="11594" xr:uid="{6324F683-2134-4D22-B814-A341B4227B77}"/>
    <cellStyle name="Normal 5 3 3 2 4 3" xfId="5228" xr:uid="{00000000-0005-0000-0000-0000B6190000}"/>
    <cellStyle name="Normal 5 3 3 2 4 3 2" xfId="13667" xr:uid="{15328C49-1AC4-4131-B029-B8ABB1613616}"/>
    <cellStyle name="Normal 5 3 3 2 4 4" xfId="9449" xr:uid="{361A3C1C-7BF5-44D3-98AF-39D0445B0EC1}"/>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16225" xr:uid="{E6228C07-7E1C-4541-9950-85EA351937D4}"/>
    <cellStyle name="Normal 5 3 3 2 5 2 3" xfId="12007" xr:uid="{83D52C0C-6108-4A4B-A00B-8C5AED3EC518}"/>
    <cellStyle name="Normal 5 3 3 2 5 3" xfId="5641" xr:uid="{00000000-0005-0000-0000-0000BA190000}"/>
    <cellStyle name="Normal 5 3 3 2 5 3 2" xfId="14080" xr:uid="{573DB2A4-1006-4A26-BE8D-4732E0C85592}"/>
    <cellStyle name="Normal 5 3 3 2 5 4" xfId="9862" xr:uid="{E88A608B-3A46-468D-B60C-489D3B47CBC7}"/>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16638" xr:uid="{34640DBC-25D6-455A-9F3A-D6F47992477D}"/>
    <cellStyle name="Normal 5 3 3 2 6 2 3" xfId="12420" xr:uid="{F4FFAF12-7CCA-4D40-9DAF-905B8A36D7F3}"/>
    <cellStyle name="Normal 5 3 3 2 6 3" xfId="6054" xr:uid="{00000000-0005-0000-0000-0000BE190000}"/>
    <cellStyle name="Normal 5 3 3 2 6 3 2" xfId="14493" xr:uid="{4B06929C-A914-4C2C-91C9-973042CFBF3F}"/>
    <cellStyle name="Normal 5 3 3 2 6 4" xfId="10275" xr:uid="{CBE95B40-2193-451F-9594-513420092E40}"/>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17051" xr:uid="{63148B59-A93E-4F70-B213-72F036610AF8}"/>
    <cellStyle name="Normal 5 3 3 2 7 2 3" xfId="12833" xr:uid="{2E329AD8-58B8-4D92-A0F3-D4C210FC45CF}"/>
    <cellStyle name="Normal 5 3 3 2 7 3" xfId="6467" xr:uid="{00000000-0005-0000-0000-0000C2190000}"/>
    <cellStyle name="Normal 5 3 3 2 7 3 2" xfId="14906" xr:uid="{21AA944D-88AD-42FE-8B47-41FD23842A5B}"/>
    <cellStyle name="Normal 5 3 3 2 7 4" xfId="10688" xr:uid="{41A750F4-73B0-4948-9EF9-D7C9B098039E}"/>
    <cellStyle name="Normal 5 3 3 2 8" xfId="2596" xr:uid="{00000000-0005-0000-0000-0000C3190000}"/>
    <cellStyle name="Normal 5 3 3 2 8 2" xfId="6880" xr:uid="{00000000-0005-0000-0000-0000C4190000}"/>
    <cellStyle name="Normal 5 3 3 2 8 2 2" xfId="15319" xr:uid="{FE28DFEE-D73D-4544-B714-53D221501BC5}"/>
    <cellStyle name="Normal 5 3 3 2 8 3" xfId="11101" xr:uid="{2CE74BB7-9698-438B-806E-A5CD00A1C569}"/>
    <cellStyle name="Normal 5 3 3 2 9" xfId="4815" xr:uid="{00000000-0005-0000-0000-0000C5190000}"/>
    <cellStyle name="Normal 5 3 3 2 9 2" xfId="13254" xr:uid="{B8CFA5BC-CACF-4B10-9DC4-7BEC17711F3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5817" xr:uid="{9CCF98C8-C3C4-4CF6-B4A2-7DF84F4474A1}"/>
    <cellStyle name="Normal 5 3 3 3 2 2 2 3" xfId="11599" xr:uid="{8928B716-A90D-4B26-87E1-F2D712A866DE}"/>
    <cellStyle name="Normal 5 3 3 3 2 2 3" xfId="5233" xr:uid="{00000000-0005-0000-0000-0000CB190000}"/>
    <cellStyle name="Normal 5 3 3 3 2 2 3 2" xfId="13672" xr:uid="{267B7A0B-FB7A-4351-9775-FBD2B46F47C6}"/>
    <cellStyle name="Normal 5 3 3 3 2 2 4" xfId="9454" xr:uid="{D0338745-E7B1-40C8-8BD9-F3200DCE5F88}"/>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16230" xr:uid="{460427D0-F92A-44D8-9FA0-40C89BBE4DEE}"/>
    <cellStyle name="Normal 5 3 3 3 2 3 2 3" xfId="12012" xr:uid="{97CA62CB-382A-4790-9323-A0726D31E608}"/>
    <cellStyle name="Normal 5 3 3 3 2 3 3" xfId="5646" xr:uid="{00000000-0005-0000-0000-0000CF190000}"/>
    <cellStyle name="Normal 5 3 3 3 2 3 3 2" xfId="14085" xr:uid="{2689164C-8822-4A45-8222-693E3D76C84F}"/>
    <cellStyle name="Normal 5 3 3 3 2 3 4" xfId="9867" xr:uid="{EF951A3C-3D31-4CD3-8336-E35983858E5A}"/>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16643" xr:uid="{48E97672-3BD3-46F0-88D4-421349AF515A}"/>
    <cellStyle name="Normal 5 3 3 3 2 4 2 3" xfId="12425" xr:uid="{0D18C314-4F45-473C-81BE-4AEECD4963BE}"/>
    <cellStyle name="Normal 5 3 3 3 2 4 3" xfId="6059" xr:uid="{00000000-0005-0000-0000-0000D3190000}"/>
    <cellStyle name="Normal 5 3 3 3 2 4 3 2" xfId="14498" xr:uid="{75598AE8-FA5F-4ECE-AF9C-11D85960AB36}"/>
    <cellStyle name="Normal 5 3 3 3 2 4 4" xfId="10280" xr:uid="{6FD2B963-8107-440C-A5EA-212FEF7F6927}"/>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17056" xr:uid="{10803819-A533-4A83-987A-DAB0F37FE3A1}"/>
    <cellStyle name="Normal 5 3 3 3 2 5 2 3" xfId="12838" xr:uid="{1E64ABC7-0D7C-4851-9C0C-CF703AFFED3C}"/>
    <cellStyle name="Normal 5 3 3 3 2 5 3" xfId="6472" xr:uid="{00000000-0005-0000-0000-0000D7190000}"/>
    <cellStyle name="Normal 5 3 3 3 2 5 3 2" xfId="14911" xr:uid="{A5700990-BCE7-4803-A3F3-9330402BA523}"/>
    <cellStyle name="Normal 5 3 3 3 2 5 4" xfId="10693" xr:uid="{47737AC9-01BC-470C-B237-1CEC8791CA55}"/>
    <cellStyle name="Normal 5 3 3 3 2 6" xfId="2601" xr:uid="{00000000-0005-0000-0000-0000D8190000}"/>
    <cellStyle name="Normal 5 3 3 3 2 6 2" xfId="6885" xr:uid="{00000000-0005-0000-0000-0000D9190000}"/>
    <cellStyle name="Normal 5 3 3 3 2 6 2 2" xfId="15324" xr:uid="{19C80925-DADB-42C5-844D-A13E871B882C}"/>
    <cellStyle name="Normal 5 3 3 3 2 6 3" xfId="11106" xr:uid="{8DF693B5-3330-4963-9F74-221EEDA441F8}"/>
    <cellStyle name="Normal 5 3 3 3 2 7" xfId="4820" xr:uid="{00000000-0005-0000-0000-0000DA190000}"/>
    <cellStyle name="Normal 5 3 3 3 2 7 2" xfId="13259" xr:uid="{08A933F7-6EB0-4C68-9038-E28FCE934F42}"/>
    <cellStyle name="Normal 5 3 3 3 2 8" xfId="9041" xr:uid="{312FCF45-F0D2-4069-8734-65D19A162F76}"/>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5816" xr:uid="{C50E50B4-F228-42F3-8B8D-0ADA39F38463}"/>
    <cellStyle name="Normal 5 3 3 3 3 2 3" xfId="11598" xr:uid="{9513DCB8-3B17-4D25-B5FB-DEB8FD18EC72}"/>
    <cellStyle name="Normal 5 3 3 3 3 3" xfId="5232" xr:uid="{00000000-0005-0000-0000-0000DE190000}"/>
    <cellStyle name="Normal 5 3 3 3 3 3 2" xfId="13671" xr:uid="{FC9C4DEF-E048-427A-9105-D10EAF998254}"/>
    <cellStyle name="Normal 5 3 3 3 3 4" xfId="9453" xr:uid="{4DDF9CE9-39D6-4953-9DA1-865BA6EA2265}"/>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16229" xr:uid="{D0BBE7A3-68F3-48B3-A5FF-ABB769EB94BA}"/>
    <cellStyle name="Normal 5 3 3 3 4 2 3" xfId="12011" xr:uid="{3B570113-36C5-4081-8EFF-B23522F8CC74}"/>
    <cellStyle name="Normal 5 3 3 3 4 3" xfId="5645" xr:uid="{00000000-0005-0000-0000-0000E2190000}"/>
    <cellStyle name="Normal 5 3 3 3 4 3 2" xfId="14084" xr:uid="{764B1376-ACDE-4CEE-A966-9A028CCC1461}"/>
    <cellStyle name="Normal 5 3 3 3 4 4" xfId="9866" xr:uid="{B170A6BA-B172-4852-913E-90D924E8F923}"/>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16642" xr:uid="{15BFF20F-7D53-42EF-9F5C-F89FBF3E733A}"/>
    <cellStyle name="Normal 5 3 3 3 5 2 3" xfId="12424" xr:uid="{A01BC491-CD70-4920-9F00-C97A3E7CCA2B}"/>
    <cellStyle name="Normal 5 3 3 3 5 3" xfId="6058" xr:uid="{00000000-0005-0000-0000-0000E6190000}"/>
    <cellStyle name="Normal 5 3 3 3 5 3 2" xfId="14497" xr:uid="{B6DAE694-703D-443B-9094-0C3F5EB858DF}"/>
    <cellStyle name="Normal 5 3 3 3 5 4" xfId="10279" xr:uid="{F0D7A788-5FC2-44D3-A12F-60C3C67D01A2}"/>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17055" xr:uid="{52B8A453-276B-44E5-A36F-E461D2A65B84}"/>
    <cellStyle name="Normal 5 3 3 3 6 2 3" xfId="12837" xr:uid="{E7BE251A-0506-48FC-A739-0A3680FAA5FD}"/>
    <cellStyle name="Normal 5 3 3 3 6 3" xfId="6471" xr:uid="{00000000-0005-0000-0000-0000EA190000}"/>
    <cellStyle name="Normal 5 3 3 3 6 3 2" xfId="14910" xr:uid="{CF97B9D0-EE4C-46BB-91E1-C67BDC64DACD}"/>
    <cellStyle name="Normal 5 3 3 3 6 4" xfId="10692" xr:uid="{D21B245C-A895-4450-B997-16ADDE68EAED}"/>
    <cellStyle name="Normal 5 3 3 3 7" xfId="2600" xr:uid="{00000000-0005-0000-0000-0000EB190000}"/>
    <cellStyle name="Normal 5 3 3 3 7 2" xfId="6884" xr:uid="{00000000-0005-0000-0000-0000EC190000}"/>
    <cellStyle name="Normal 5 3 3 3 7 2 2" xfId="15323" xr:uid="{1C024BCA-2FB9-49BB-A5F5-A0BF1A248F43}"/>
    <cellStyle name="Normal 5 3 3 3 7 3" xfId="11105" xr:uid="{71DA66A1-2660-4AF2-9E6A-B798544F82A9}"/>
    <cellStyle name="Normal 5 3 3 3 8" xfId="4819" xr:uid="{00000000-0005-0000-0000-0000ED190000}"/>
    <cellStyle name="Normal 5 3 3 3 8 2" xfId="13258" xr:uid="{8C78F747-15DD-4119-8E26-44297D141615}"/>
    <cellStyle name="Normal 5 3 3 3 9" xfId="9040" xr:uid="{C65EFC2A-FC90-469B-8E74-028976038A16}"/>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5818" xr:uid="{41CDA045-1692-4A1A-A6CE-FDDADB3854C3}"/>
    <cellStyle name="Normal 5 3 3 4 2 2 3" xfId="11600" xr:uid="{D4AB11C5-B712-4F3F-8356-EB860629D258}"/>
    <cellStyle name="Normal 5 3 3 4 2 3" xfId="5234" xr:uid="{00000000-0005-0000-0000-0000F2190000}"/>
    <cellStyle name="Normal 5 3 3 4 2 3 2" xfId="13673" xr:uid="{55584D6C-C6E9-43ED-BE83-AD214B06834E}"/>
    <cellStyle name="Normal 5 3 3 4 2 4" xfId="9455" xr:uid="{AC664AEE-26E9-44BD-BC50-4CC0B15EE565}"/>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16231" xr:uid="{67D93164-780C-4380-81F6-CCC6BD3C8815}"/>
    <cellStyle name="Normal 5 3 3 4 3 2 3" xfId="12013" xr:uid="{BCA01694-12D1-453D-A5F0-0453B5CB480C}"/>
    <cellStyle name="Normal 5 3 3 4 3 3" xfId="5647" xr:uid="{00000000-0005-0000-0000-0000F6190000}"/>
    <cellStyle name="Normal 5 3 3 4 3 3 2" xfId="14086" xr:uid="{0ED5C93B-542F-4F9C-B0B9-E0D3DA172ECC}"/>
    <cellStyle name="Normal 5 3 3 4 3 4" xfId="9868" xr:uid="{6CDE6B19-840C-44B8-B8AB-AB40294BEBA5}"/>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16644" xr:uid="{1014EEF7-316D-4136-AF10-089520EDDEA6}"/>
    <cellStyle name="Normal 5 3 3 4 4 2 3" xfId="12426" xr:uid="{4475E21E-E332-462D-BCA5-A1CA4B6E586A}"/>
    <cellStyle name="Normal 5 3 3 4 4 3" xfId="6060" xr:uid="{00000000-0005-0000-0000-0000FA190000}"/>
    <cellStyle name="Normal 5 3 3 4 4 3 2" xfId="14499" xr:uid="{D3CFB1DF-9116-46B6-B51D-5769A2BF1F6D}"/>
    <cellStyle name="Normal 5 3 3 4 4 4" xfId="10281" xr:uid="{B6B524F2-68B3-4B7E-B24E-9890BAC37DE0}"/>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17057" xr:uid="{ECE8DDCA-4BF4-4093-B6FA-3746212744E2}"/>
    <cellStyle name="Normal 5 3 3 4 5 2 3" xfId="12839" xr:uid="{DC2B4116-171B-4950-A8D3-E2FAFA27CAE4}"/>
    <cellStyle name="Normal 5 3 3 4 5 3" xfId="6473" xr:uid="{00000000-0005-0000-0000-0000FE190000}"/>
    <cellStyle name="Normal 5 3 3 4 5 3 2" xfId="14912" xr:uid="{668FB5DA-8323-406E-B616-6EEE472D5148}"/>
    <cellStyle name="Normal 5 3 3 4 5 4" xfId="10694" xr:uid="{9DF0FB48-1784-42E1-A3DA-9180F0A859AD}"/>
    <cellStyle name="Normal 5 3 3 4 6" xfId="2602" xr:uid="{00000000-0005-0000-0000-0000FF190000}"/>
    <cellStyle name="Normal 5 3 3 4 6 2" xfId="6886" xr:uid="{00000000-0005-0000-0000-0000001A0000}"/>
    <cellStyle name="Normal 5 3 3 4 6 2 2" xfId="15325" xr:uid="{200249B5-73A0-4596-8193-191C5584DFFB}"/>
    <cellStyle name="Normal 5 3 3 4 6 3" xfId="11107" xr:uid="{3ABFBFE3-E2BC-458A-A090-07EC418F40C2}"/>
    <cellStyle name="Normal 5 3 3 4 7" xfId="4821" xr:uid="{00000000-0005-0000-0000-0000011A0000}"/>
    <cellStyle name="Normal 5 3 3 4 7 2" xfId="13260" xr:uid="{1D440165-8C52-4CC6-8D3C-1A961577A1CD}"/>
    <cellStyle name="Normal 5 3 3 4 8" xfId="9042" xr:uid="{D353E8B0-8C6F-4BD0-9F18-2C4DA3B55878}"/>
    <cellStyle name="Normal 5 3 3 5" xfId="915" xr:uid="{00000000-0005-0000-0000-0000021A0000}"/>
    <cellStyle name="Normal 5 3 3 5 2" xfId="3149" xr:uid="{00000000-0005-0000-0000-0000031A0000}"/>
    <cellStyle name="Normal 5 3 3 5 2 2" xfId="7372" xr:uid="{00000000-0005-0000-0000-0000041A0000}"/>
    <cellStyle name="Normal 5 3 3 5 2 2 2" xfId="15811" xr:uid="{476FDA9F-8624-4B21-BBBD-B552CCBB83D8}"/>
    <cellStyle name="Normal 5 3 3 5 2 3" xfId="11593" xr:uid="{438FF79A-89FA-49AA-BE46-93143A859F01}"/>
    <cellStyle name="Normal 5 3 3 5 3" xfId="5227" xr:uid="{00000000-0005-0000-0000-0000051A0000}"/>
    <cellStyle name="Normal 5 3 3 5 3 2" xfId="13666" xr:uid="{52FEC416-1C50-49AF-B8E7-297D60F4E3E1}"/>
    <cellStyle name="Normal 5 3 3 5 4" xfId="9448" xr:uid="{66E72934-90C4-47C5-A0A9-A4D0574D910C}"/>
    <cellStyle name="Normal 5 3 3 6" xfId="1332" xr:uid="{00000000-0005-0000-0000-0000061A0000}"/>
    <cellStyle name="Normal 5 3 3 6 2" xfId="3562" xr:uid="{00000000-0005-0000-0000-0000071A0000}"/>
    <cellStyle name="Normal 5 3 3 6 2 2" xfId="7785" xr:uid="{00000000-0005-0000-0000-0000081A0000}"/>
    <cellStyle name="Normal 5 3 3 6 2 2 2" xfId="16224" xr:uid="{C38BD374-8C76-4B4A-B6C8-679D76327CA1}"/>
    <cellStyle name="Normal 5 3 3 6 2 3" xfId="12006" xr:uid="{97208AEE-9D65-495C-B9BC-D62AF3C6CDAD}"/>
    <cellStyle name="Normal 5 3 3 6 3" xfId="5640" xr:uid="{00000000-0005-0000-0000-0000091A0000}"/>
    <cellStyle name="Normal 5 3 3 6 3 2" xfId="14079" xr:uid="{2E678B64-A09A-46DE-AF7B-4BFBC912DE62}"/>
    <cellStyle name="Normal 5 3 3 6 4" xfId="9861" xr:uid="{C6FC58AA-C42A-481A-9F80-EDA8F199ADEE}"/>
    <cellStyle name="Normal 5 3 3 7" xfId="1745" xr:uid="{00000000-0005-0000-0000-00000A1A0000}"/>
    <cellStyle name="Normal 5 3 3 7 2" xfId="3975" xr:uid="{00000000-0005-0000-0000-00000B1A0000}"/>
    <cellStyle name="Normal 5 3 3 7 2 2" xfId="8198" xr:uid="{00000000-0005-0000-0000-00000C1A0000}"/>
    <cellStyle name="Normal 5 3 3 7 2 2 2" xfId="16637" xr:uid="{3F898A40-5760-43FB-87A1-6589803F99BE}"/>
    <cellStyle name="Normal 5 3 3 7 2 3" xfId="12419" xr:uid="{279CA2A2-708B-4768-8972-473445738308}"/>
    <cellStyle name="Normal 5 3 3 7 3" xfId="6053" xr:uid="{00000000-0005-0000-0000-00000D1A0000}"/>
    <cellStyle name="Normal 5 3 3 7 3 2" xfId="14492" xr:uid="{5E30C344-0DC5-48FF-B939-FD6202674837}"/>
    <cellStyle name="Normal 5 3 3 7 4" xfId="10274" xr:uid="{FF646100-85A4-42FB-A7DC-260AF9B126F6}"/>
    <cellStyle name="Normal 5 3 3 8" xfId="2159" xr:uid="{00000000-0005-0000-0000-00000E1A0000}"/>
    <cellStyle name="Normal 5 3 3 8 2" xfId="4388" xr:uid="{00000000-0005-0000-0000-00000F1A0000}"/>
    <cellStyle name="Normal 5 3 3 8 2 2" xfId="8611" xr:uid="{00000000-0005-0000-0000-0000101A0000}"/>
    <cellStyle name="Normal 5 3 3 8 2 2 2" xfId="17050" xr:uid="{84390AD2-022E-4FE1-8163-146245380B93}"/>
    <cellStyle name="Normal 5 3 3 8 2 3" xfId="12832" xr:uid="{BF6C26A2-696D-431A-B015-F8D604F6D6CB}"/>
    <cellStyle name="Normal 5 3 3 8 3" xfId="6466" xr:uid="{00000000-0005-0000-0000-0000111A0000}"/>
    <cellStyle name="Normal 5 3 3 8 3 2" xfId="14905" xr:uid="{518271E4-AFDE-4ED0-B2B1-1E8CF7948A74}"/>
    <cellStyle name="Normal 5 3 3 8 4" xfId="10687" xr:uid="{D1D6B9FD-A60C-4BC5-926D-A921B356F73F}"/>
    <cellStyle name="Normal 5 3 3 9" xfId="2595" xr:uid="{00000000-0005-0000-0000-0000121A0000}"/>
    <cellStyle name="Normal 5 3 3 9 2" xfId="6879" xr:uid="{00000000-0005-0000-0000-0000131A0000}"/>
    <cellStyle name="Normal 5 3 3 9 2 2" xfId="15318" xr:uid="{B3820C08-5423-4557-8F2B-2F8990E52F33}"/>
    <cellStyle name="Normal 5 3 3 9 3" xfId="11100" xr:uid="{D9E34D22-D1A9-4016-A9CC-0BD774D21345}"/>
    <cellStyle name="Normal 5 3 4" xfId="449" xr:uid="{00000000-0005-0000-0000-0000141A0000}"/>
    <cellStyle name="Normal 5 3 4 10" xfId="9043" xr:uid="{563B9856-F485-4616-B2FE-ED5F564F5FAD}"/>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5821" xr:uid="{276DD655-1320-4F29-A952-9D1FE24AA94E}"/>
    <cellStyle name="Normal 5 3 4 2 2 2 2 3" xfId="11603" xr:uid="{46DCD453-61F6-4C6B-838B-D2113DDA0E79}"/>
    <cellStyle name="Normal 5 3 4 2 2 2 3" xfId="5237" xr:uid="{00000000-0005-0000-0000-00001A1A0000}"/>
    <cellStyle name="Normal 5 3 4 2 2 2 3 2" xfId="13676" xr:uid="{94491727-F191-4E5C-BC6E-82E40A00EBCE}"/>
    <cellStyle name="Normal 5 3 4 2 2 2 4" xfId="9458" xr:uid="{6E0945DC-58D2-4976-94F9-D87EA93E082B}"/>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16234" xr:uid="{C7D829F4-0D27-43F3-BB02-7FBB137AF937}"/>
    <cellStyle name="Normal 5 3 4 2 2 3 2 3" xfId="12016" xr:uid="{10F9BC7F-194B-4800-9E73-288FC202B07F}"/>
    <cellStyle name="Normal 5 3 4 2 2 3 3" xfId="5650" xr:uid="{00000000-0005-0000-0000-00001E1A0000}"/>
    <cellStyle name="Normal 5 3 4 2 2 3 3 2" xfId="14089" xr:uid="{E2EAF722-DEFD-49A7-A5BA-36434D739473}"/>
    <cellStyle name="Normal 5 3 4 2 2 3 4" xfId="9871" xr:uid="{3545E3C7-FF09-45AE-AE83-F35E193E3261}"/>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16647" xr:uid="{7B53B88F-83AA-4140-9BA8-A86F8C112884}"/>
    <cellStyle name="Normal 5 3 4 2 2 4 2 3" xfId="12429" xr:uid="{DFC7149E-242E-4C0C-B2CA-5707888DB377}"/>
    <cellStyle name="Normal 5 3 4 2 2 4 3" xfId="6063" xr:uid="{00000000-0005-0000-0000-0000221A0000}"/>
    <cellStyle name="Normal 5 3 4 2 2 4 3 2" xfId="14502" xr:uid="{C6D67332-D229-4047-AD94-F5ADDF737617}"/>
    <cellStyle name="Normal 5 3 4 2 2 4 4" xfId="10284" xr:uid="{9BC3E4CA-DC8B-4D0A-8505-3D96FE1ECE1C}"/>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17060" xr:uid="{3C860A47-F257-4AB6-9323-76B7E5EC9972}"/>
    <cellStyle name="Normal 5 3 4 2 2 5 2 3" xfId="12842" xr:uid="{9DC3B2D0-EE28-410D-B09F-70739ECAECE1}"/>
    <cellStyle name="Normal 5 3 4 2 2 5 3" xfId="6476" xr:uid="{00000000-0005-0000-0000-0000261A0000}"/>
    <cellStyle name="Normal 5 3 4 2 2 5 3 2" xfId="14915" xr:uid="{9B8AE901-6FFD-413F-834C-9896FE42F80C}"/>
    <cellStyle name="Normal 5 3 4 2 2 5 4" xfId="10697" xr:uid="{765F863F-C200-4088-B80A-447586F46E70}"/>
    <cellStyle name="Normal 5 3 4 2 2 6" xfId="2605" xr:uid="{00000000-0005-0000-0000-0000271A0000}"/>
    <cellStyle name="Normal 5 3 4 2 2 6 2" xfId="6889" xr:uid="{00000000-0005-0000-0000-0000281A0000}"/>
    <cellStyle name="Normal 5 3 4 2 2 6 2 2" xfId="15328" xr:uid="{F0CB8427-0A5F-49E4-B5AD-0C815F2EC959}"/>
    <cellStyle name="Normal 5 3 4 2 2 6 3" xfId="11110" xr:uid="{D3EB3179-9605-4948-AE1E-CF103706CD2F}"/>
    <cellStyle name="Normal 5 3 4 2 2 7" xfId="4824" xr:uid="{00000000-0005-0000-0000-0000291A0000}"/>
    <cellStyle name="Normal 5 3 4 2 2 7 2" xfId="13263" xr:uid="{C5D2DFDC-9C64-4125-BCEA-52508FB6DAA6}"/>
    <cellStyle name="Normal 5 3 4 2 2 8" xfId="9045" xr:uid="{3C563BA0-A6B1-460F-B623-20B839F9A4E4}"/>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5820" xr:uid="{BF03A0E7-288B-4622-B2AC-F34CECE50BFE}"/>
    <cellStyle name="Normal 5 3 4 2 3 2 3" xfId="11602" xr:uid="{449CD94F-C699-49BE-B067-2A7B2C1766F4}"/>
    <cellStyle name="Normal 5 3 4 2 3 3" xfId="5236" xr:uid="{00000000-0005-0000-0000-00002D1A0000}"/>
    <cellStyle name="Normal 5 3 4 2 3 3 2" xfId="13675" xr:uid="{136B8D00-6008-471A-B72F-F5F695B1A9CB}"/>
    <cellStyle name="Normal 5 3 4 2 3 4" xfId="9457" xr:uid="{31DBD9B0-DC2C-40B6-AE02-43A524900085}"/>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16233" xr:uid="{0D2A8F4F-9E7A-4501-86FD-0371A50F894E}"/>
    <cellStyle name="Normal 5 3 4 2 4 2 3" xfId="12015" xr:uid="{54E0FF39-74F0-427E-8C92-8CC2F147B548}"/>
    <cellStyle name="Normal 5 3 4 2 4 3" xfId="5649" xr:uid="{00000000-0005-0000-0000-0000311A0000}"/>
    <cellStyle name="Normal 5 3 4 2 4 3 2" xfId="14088" xr:uid="{B2669065-D5B7-4FE4-90EA-7E3F72EE3757}"/>
    <cellStyle name="Normal 5 3 4 2 4 4" xfId="9870" xr:uid="{8EAD6203-A8B4-411C-B885-183618C07778}"/>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16646" xr:uid="{31E049F1-1F76-481A-AE9D-C7D7A31015F1}"/>
    <cellStyle name="Normal 5 3 4 2 5 2 3" xfId="12428" xr:uid="{ABF93360-C749-49C0-A41D-7FA2892D9093}"/>
    <cellStyle name="Normal 5 3 4 2 5 3" xfId="6062" xr:uid="{00000000-0005-0000-0000-0000351A0000}"/>
    <cellStyle name="Normal 5 3 4 2 5 3 2" xfId="14501" xr:uid="{317E6343-07B1-4C14-868C-65BBA4BD25B0}"/>
    <cellStyle name="Normal 5 3 4 2 5 4" xfId="10283" xr:uid="{49203A83-7330-4B63-AAD1-02565AD13A58}"/>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17059" xr:uid="{83F69DCC-19F0-4B90-B06D-86C40C8C673E}"/>
    <cellStyle name="Normal 5 3 4 2 6 2 3" xfId="12841" xr:uid="{DB8D61B2-5294-4A20-9B7F-5FD6911C1723}"/>
    <cellStyle name="Normal 5 3 4 2 6 3" xfId="6475" xr:uid="{00000000-0005-0000-0000-0000391A0000}"/>
    <cellStyle name="Normal 5 3 4 2 6 3 2" xfId="14914" xr:uid="{3D4E8427-5E99-45EF-BF1A-6D663813BAC6}"/>
    <cellStyle name="Normal 5 3 4 2 6 4" xfId="10696" xr:uid="{DB1C22E8-9713-4EC6-9962-2A7498F7A3F0}"/>
    <cellStyle name="Normal 5 3 4 2 7" xfId="2604" xr:uid="{00000000-0005-0000-0000-00003A1A0000}"/>
    <cellStyle name="Normal 5 3 4 2 7 2" xfId="6888" xr:uid="{00000000-0005-0000-0000-00003B1A0000}"/>
    <cellStyle name="Normal 5 3 4 2 7 2 2" xfId="15327" xr:uid="{A770CFAA-6625-4CFB-B4A8-84AEFB1D5194}"/>
    <cellStyle name="Normal 5 3 4 2 7 3" xfId="11109" xr:uid="{B74198B4-6888-4676-9904-5D9BF8B3F21D}"/>
    <cellStyle name="Normal 5 3 4 2 8" xfId="4823" xr:uid="{00000000-0005-0000-0000-00003C1A0000}"/>
    <cellStyle name="Normal 5 3 4 2 8 2" xfId="13262" xr:uid="{9FA4BC12-972C-4D03-A971-813F36751476}"/>
    <cellStyle name="Normal 5 3 4 2 9" xfId="9044" xr:uid="{ADFD5B82-6B91-43E8-A0EC-82C3F33137D5}"/>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5822" xr:uid="{D377F4F3-1767-4D6B-AF4E-FAD8FC797B75}"/>
    <cellStyle name="Normal 5 3 4 3 2 2 3" xfId="11604" xr:uid="{359B9FE3-1368-4F8E-8B2E-697E65F4DA9B}"/>
    <cellStyle name="Normal 5 3 4 3 2 3" xfId="5238" xr:uid="{00000000-0005-0000-0000-0000411A0000}"/>
    <cellStyle name="Normal 5 3 4 3 2 3 2" xfId="13677" xr:uid="{5D55305B-FD16-4D32-8140-B58B6AA30C68}"/>
    <cellStyle name="Normal 5 3 4 3 2 4" xfId="9459" xr:uid="{1BC1B703-CECD-4052-B0A3-3A443D79C05B}"/>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16235" xr:uid="{5C3E5CC9-1836-408F-9535-955C168EDAAF}"/>
    <cellStyle name="Normal 5 3 4 3 3 2 3" xfId="12017" xr:uid="{EEBEB345-B722-4A97-8625-730034C2968A}"/>
    <cellStyle name="Normal 5 3 4 3 3 3" xfId="5651" xr:uid="{00000000-0005-0000-0000-0000451A0000}"/>
    <cellStyle name="Normal 5 3 4 3 3 3 2" xfId="14090" xr:uid="{985AFC59-9C5E-444E-9C89-F2CCB8FD72C2}"/>
    <cellStyle name="Normal 5 3 4 3 3 4" xfId="9872" xr:uid="{4587A7E6-81AA-4DDF-BA64-958B5C966222}"/>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16648" xr:uid="{6C3E773B-F795-4834-AB12-09AA78A43AA8}"/>
    <cellStyle name="Normal 5 3 4 3 4 2 3" xfId="12430" xr:uid="{53F2AB39-7EF9-420D-9D72-3A760EEB86E0}"/>
    <cellStyle name="Normal 5 3 4 3 4 3" xfId="6064" xr:uid="{00000000-0005-0000-0000-0000491A0000}"/>
    <cellStyle name="Normal 5 3 4 3 4 3 2" xfId="14503" xr:uid="{890413EC-2F2D-477D-B28E-CA231B6B2436}"/>
    <cellStyle name="Normal 5 3 4 3 4 4" xfId="10285" xr:uid="{0F861923-0DD7-4D90-8C38-3EDCD2BE8628}"/>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17061" xr:uid="{C9F6061A-5827-4C93-9B0A-AFBCFC4CF98B}"/>
    <cellStyle name="Normal 5 3 4 3 5 2 3" xfId="12843" xr:uid="{DDA45E99-2389-4AFD-B280-43BB4C907300}"/>
    <cellStyle name="Normal 5 3 4 3 5 3" xfId="6477" xr:uid="{00000000-0005-0000-0000-00004D1A0000}"/>
    <cellStyle name="Normal 5 3 4 3 5 3 2" xfId="14916" xr:uid="{A5FFF8D8-F05D-4585-BAFE-B2E51655D6EF}"/>
    <cellStyle name="Normal 5 3 4 3 5 4" xfId="10698" xr:uid="{AE74BE0B-E640-4949-8DF5-0BDE8D2B278C}"/>
    <cellStyle name="Normal 5 3 4 3 6" xfId="2606" xr:uid="{00000000-0005-0000-0000-00004E1A0000}"/>
    <cellStyle name="Normal 5 3 4 3 6 2" xfId="6890" xr:uid="{00000000-0005-0000-0000-00004F1A0000}"/>
    <cellStyle name="Normal 5 3 4 3 6 2 2" xfId="15329" xr:uid="{8530D362-28AA-45B4-B768-2358B8E48415}"/>
    <cellStyle name="Normal 5 3 4 3 6 3" xfId="11111" xr:uid="{201E8500-C699-4300-936A-ABEBCB011D4F}"/>
    <cellStyle name="Normal 5 3 4 3 7" xfId="4825" xr:uid="{00000000-0005-0000-0000-0000501A0000}"/>
    <cellStyle name="Normal 5 3 4 3 7 2" xfId="13264" xr:uid="{3A563407-675E-4E14-82C4-92F2A95E4BBD}"/>
    <cellStyle name="Normal 5 3 4 3 8" xfId="9046" xr:uid="{8820FC83-DD93-4426-9000-A6B27D848A44}"/>
    <cellStyle name="Normal 5 3 4 4" xfId="923" xr:uid="{00000000-0005-0000-0000-0000511A0000}"/>
    <cellStyle name="Normal 5 3 4 4 2" xfId="3157" xr:uid="{00000000-0005-0000-0000-0000521A0000}"/>
    <cellStyle name="Normal 5 3 4 4 2 2" xfId="7380" xr:uid="{00000000-0005-0000-0000-0000531A0000}"/>
    <cellStyle name="Normal 5 3 4 4 2 2 2" xfId="15819" xr:uid="{E2D3E3DA-6BB3-459F-9275-B0AAB5EE681F}"/>
    <cellStyle name="Normal 5 3 4 4 2 3" xfId="11601" xr:uid="{E9554225-EE68-44FD-95FC-5098BC63B4CD}"/>
    <cellStyle name="Normal 5 3 4 4 3" xfId="5235" xr:uid="{00000000-0005-0000-0000-0000541A0000}"/>
    <cellStyle name="Normal 5 3 4 4 3 2" xfId="13674" xr:uid="{F0838846-181B-4115-B776-65367CFB616E}"/>
    <cellStyle name="Normal 5 3 4 4 4" xfId="9456" xr:uid="{008CC33F-1A24-404F-B7F7-964257DA4979}"/>
    <cellStyle name="Normal 5 3 4 5" xfId="1340" xr:uid="{00000000-0005-0000-0000-0000551A0000}"/>
    <cellStyle name="Normal 5 3 4 5 2" xfId="3570" xr:uid="{00000000-0005-0000-0000-0000561A0000}"/>
    <cellStyle name="Normal 5 3 4 5 2 2" xfId="7793" xr:uid="{00000000-0005-0000-0000-0000571A0000}"/>
    <cellStyle name="Normal 5 3 4 5 2 2 2" xfId="16232" xr:uid="{D45CD9EE-A64B-42A1-8A35-3EB318E5F245}"/>
    <cellStyle name="Normal 5 3 4 5 2 3" xfId="12014" xr:uid="{797FEF5F-03FA-4194-8193-11BAC844A841}"/>
    <cellStyle name="Normal 5 3 4 5 3" xfId="5648" xr:uid="{00000000-0005-0000-0000-0000581A0000}"/>
    <cellStyle name="Normal 5 3 4 5 3 2" xfId="14087" xr:uid="{52DB1C5A-BE92-4F17-9641-CBCDFF9020FE}"/>
    <cellStyle name="Normal 5 3 4 5 4" xfId="9869" xr:uid="{E2DA10BC-18CE-4564-877C-7D369B9C6DF4}"/>
    <cellStyle name="Normal 5 3 4 6" xfId="1753" xr:uid="{00000000-0005-0000-0000-0000591A0000}"/>
    <cellStyle name="Normal 5 3 4 6 2" xfId="3983" xr:uid="{00000000-0005-0000-0000-00005A1A0000}"/>
    <cellStyle name="Normal 5 3 4 6 2 2" xfId="8206" xr:uid="{00000000-0005-0000-0000-00005B1A0000}"/>
    <cellStyle name="Normal 5 3 4 6 2 2 2" xfId="16645" xr:uid="{0BA80F09-9CF8-4FA2-8D92-11249E875D8F}"/>
    <cellStyle name="Normal 5 3 4 6 2 3" xfId="12427" xr:uid="{993A8DD2-649C-4129-8740-962194B7A7E9}"/>
    <cellStyle name="Normal 5 3 4 6 3" xfId="6061" xr:uid="{00000000-0005-0000-0000-00005C1A0000}"/>
    <cellStyle name="Normal 5 3 4 6 3 2" xfId="14500" xr:uid="{B9FB72CC-020F-4620-AEEA-A3530278F653}"/>
    <cellStyle name="Normal 5 3 4 6 4" xfId="10282" xr:uid="{84F544DB-4493-4EDA-A5EF-B7AC821CA711}"/>
    <cellStyle name="Normal 5 3 4 7" xfId="2167" xr:uid="{00000000-0005-0000-0000-00005D1A0000}"/>
    <cellStyle name="Normal 5 3 4 7 2" xfId="4396" xr:uid="{00000000-0005-0000-0000-00005E1A0000}"/>
    <cellStyle name="Normal 5 3 4 7 2 2" xfId="8619" xr:uid="{00000000-0005-0000-0000-00005F1A0000}"/>
    <cellStyle name="Normal 5 3 4 7 2 2 2" xfId="17058" xr:uid="{D474CE20-62F4-44AF-8AFE-D5494DE511BC}"/>
    <cellStyle name="Normal 5 3 4 7 2 3" xfId="12840" xr:uid="{B0EB367C-C341-460F-979B-5C8EC0A47A89}"/>
    <cellStyle name="Normal 5 3 4 7 3" xfId="6474" xr:uid="{00000000-0005-0000-0000-0000601A0000}"/>
    <cellStyle name="Normal 5 3 4 7 3 2" xfId="14913" xr:uid="{1F318084-296F-419E-8826-586C07A9C01F}"/>
    <cellStyle name="Normal 5 3 4 7 4" xfId="10695" xr:uid="{54790980-37D1-47C7-97E8-7E6BA1B8021B}"/>
    <cellStyle name="Normal 5 3 4 8" xfId="2603" xr:uid="{00000000-0005-0000-0000-0000611A0000}"/>
    <cellStyle name="Normal 5 3 4 8 2" xfId="6887" xr:uid="{00000000-0005-0000-0000-0000621A0000}"/>
    <cellStyle name="Normal 5 3 4 8 2 2" xfId="15326" xr:uid="{C192F5E2-2621-4A02-B93A-09A118B86C1A}"/>
    <cellStyle name="Normal 5 3 4 8 3" xfId="11108" xr:uid="{3C67AFE7-7837-47E5-9E84-C519D58BDC94}"/>
    <cellStyle name="Normal 5 3 4 9" xfId="4822" xr:uid="{00000000-0005-0000-0000-0000631A0000}"/>
    <cellStyle name="Normal 5 3 4 9 2" xfId="13261" xr:uid="{C5DD90C7-C662-4B86-B2AE-BD0F9879C499}"/>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5824" xr:uid="{61D35690-0C6C-442B-B398-65B7315FCAEE}"/>
    <cellStyle name="Normal 5 3 5 2 2 2 3" xfId="11606" xr:uid="{09A7A763-BFBA-4855-B554-C1FBFEBCF4DD}"/>
    <cellStyle name="Normal 5 3 5 2 2 3" xfId="5240" xr:uid="{00000000-0005-0000-0000-0000691A0000}"/>
    <cellStyle name="Normal 5 3 5 2 2 3 2" xfId="13679" xr:uid="{33113E33-DA4C-4306-8131-E0F81FBA1863}"/>
    <cellStyle name="Normal 5 3 5 2 2 4" xfId="9461" xr:uid="{1706B744-0ED1-4924-9754-8F58D06FB677}"/>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16237" xr:uid="{115E475C-D06E-43A8-87DB-C3CF3F4D2E05}"/>
    <cellStyle name="Normal 5 3 5 2 3 2 3" xfId="12019" xr:uid="{AF94D5A6-1BA0-4CEC-8127-9D79B42BF31E}"/>
    <cellStyle name="Normal 5 3 5 2 3 3" xfId="5653" xr:uid="{00000000-0005-0000-0000-00006D1A0000}"/>
    <cellStyle name="Normal 5 3 5 2 3 3 2" xfId="14092" xr:uid="{507D2189-F41D-4B3F-B49A-1DFDD24D1DF3}"/>
    <cellStyle name="Normal 5 3 5 2 3 4" xfId="9874" xr:uid="{5DBC7CB8-F3F6-4EEF-8FDD-564EC88A4A4E}"/>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16650" xr:uid="{3404E2E9-A2F7-45FB-9221-19718B7301E8}"/>
    <cellStyle name="Normal 5 3 5 2 4 2 3" xfId="12432" xr:uid="{F3EEB999-58BF-4F95-8307-7EA1E6F9B65E}"/>
    <cellStyle name="Normal 5 3 5 2 4 3" xfId="6066" xr:uid="{00000000-0005-0000-0000-0000711A0000}"/>
    <cellStyle name="Normal 5 3 5 2 4 3 2" xfId="14505" xr:uid="{FE4BA8AA-6CAD-4994-9495-976F4214AED4}"/>
    <cellStyle name="Normal 5 3 5 2 4 4" xfId="10287" xr:uid="{DA50263C-D273-4D9D-B7A2-1876142AD343}"/>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17063" xr:uid="{78E32286-929F-493C-9EB2-F3703A942F9B}"/>
    <cellStyle name="Normal 5 3 5 2 5 2 3" xfId="12845" xr:uid="{FF1D8EFE-6FD7-45E0-A52D-3E5D79089D66}"/>
    <cellStyle name="Normal 5 3 5 2 5 3" xfId="6479" xr:uid="{00000000-0005-0000-0000-0000751A0000}"/>
    <cellStyle name="Normal 5 3 5 2 5 3 2" xfId="14918" xr:uid="{25F3E809-F17B-48B9-B503-92DB54A786CF}"/>
    <cellStyle name="Normal 5 3 5 2 5 4" xfId="10700" xr:uid="{BC742FA1-7B77-490F-8DB5-AB2E70766FDF}"/>
    <cellStyle name="Normal 5 3 5 2 6" xfId="2608" xr:uid="{00000000-0005-0000-0000-0000761A0000}"/>
    <cellStyle name="Normal 5 3 5 2 6 2" xfId="6892" xr:uid="{00000000-0005-0000-0000-0000771A0000}"/>
    <cellStyle name="Normal 5 3 5 2 6 2 2" xfId="15331" xr:uid="{988A5ADE-2811-4D9E-9675-5A7984DE0629}"/>
    <cellStyle name="Normal 5 3 5 2 6 3" xfId="11113" xr:uid="{9731D39A-2E54-41F1-BA45-C254EB536979}"/>
    <cellStyle name="Normal 5 3 5 2 7" xfId="4827" xr:uid="{00000000-0005-0000-0000-0000781A0000}"/>
    <cellStyle name="Normal 5 3 5 2 7 2" xfId="13266" xr:uid="{FFE269CC-89DC-4907-9AF2-74810DA714A3}"/>
    <cellStyle name="Normal 5 3 5 2 8" xfId="9048" xr:uid="{AD2B9F65-3E32-4DAC-ACD2-1C2DAD2C9DB7}"/>
    <cellStyle name="Normal 5 3 5 3" xfId="927" xr:uid="{00000000-0005-0000-0000-0000791A0000}"/>
    <cellStyle name="Normal 5 3 5 3 2" xfId="3161" xr:uid="{00000000-0005-0000-0000-00007A1A0000}"/>
    <cellStyle name="Normal 5 3 5 3 2 2" xfId="7384" xr:uid="{00000000-0005-0000-0000-00007B1A0000}"/>
    <cellStyle name="Normal 5 3 5 3 2 2 2" xfId="15823" xr:uid="{7AEC968C-0AC0-4021-AD8A-414433FB4646}"/>
    <cellStyle name="Normal 5 3 5 3 2 3" xfId="11605" xr:uid="{C5A99494-052C-44E3-882D-D164F548C1B2}"/>
    <cellStyle name="Normal 5 3 5 3 3" xfId="5239" xr:uid="{00000000-0005-0000-0000-00007C1A0000}"/>
    <cellStyle name="Normal 5 3 5 3 3 2" xfId="13678" xr:uid="{78C693AD-9BEE-4467-973D-9799FC575D07}"/>
    <cellStyle name="Normal 5 3 5 3 4" xfId="9460" xr:uid="{159650C0-E473-43B7-B99F-3386F8D5DF87}"/>
    <cellStyle name="Normal 5 3 5 4" xfId="1344" xr:uid="{00000000-0005-0000-0000-00007D1A0000}"/>
    <cellStyle name="Normal 5 3 5 4 2" xfId="3574" xr:uid="{00000000-0005-0000-0000-00007E1A0000}"/>
    <cellStyle name="Normal 5 3 5 4 2 2" xfId="7797" xr:uid="{00000000-0005-0000-0000-00007F1A0000}"/>
    <cellStyle name="Normal 5 3 5 4 2 2 2" xfId="16236" xr:uid="{E7283DD4-D722-4CC7-A6DD-332277A3CB75}"/>
    <cellStyle name="Normal 5 3 5 4 2 3" xfId="12018" xr:uid="{73BE4FA9-060F-4F26-907B-0A06726BAABA}"/>
    <cellStyle name="Normal 5 3 5 4 3" xfId="5652" xr:uid="{00000000-0005-0000-0000-0000801A0000}"/>
    <cellStyle name="Normal 5 3 5 4 3 2" xfId="14091" xr:uid="{DCEA0947-39A4-4B96-A537-57B120C08483}"/>
    <cellStyle name="Normal 5 3 5 4 4" xfId="9873" xr:uid="{216DAF47-8393-4BD6-9546-F91ED26585D5}"/>
    <cellStyle name="Normal 5 3 5 5" xfId="1757" xr:uid="{00000000-0005-0000-0000-0000811A0000}"/>
    <cellStyle name="Normal 5 3 5 5 2" xfId="3987" xr:uid="{00000000-0005-0000-0000-0000821A0000}"/>
    <cellStyle name="Normal 5 3 5 5 2 2" xfId="8210" xr:uid="{00000000-0005-0000-0000-0000831A0000}"/>
    <cellStyle name="Normal 5 3 5 5 2 2 2" xfId="16649" xr:uid="{C5395532-04C5-484F-99C7-4479B5AAC846}"/>
    <cellStyle name="Normal 5 3 5 5 2 3" xfId="12431" xr:uid="{77D02314-AFAD-48E8-BA60-543B69F41510}"/>
    <cellStyle name="Normal 5 3 5 5 3" xfId="6065" xr:uid="{00000000-0005-0000-0000-0000841A0000}"/>
    <cellStyle name="Normal 5 3 5 5 3 2" xfId="14504" xr:uid="{306ED7EA-5581-4CAF-9C62-DDB91BB13B5D}"/>
    <cellStyle name="Normal 5 3 5 5 4" xfId="10286" xr:uid="{3FCAD3D6-6846-4C7E-96C6-F7D03AAA6D51}"/>
    <cellStyle name="Normal 5 3 5 6" xfId="2171" xr:uid="{00000000-0005-0000-0000-0000851A0000}"/>
    <cellStyle name="Normal 5 3 5 6 2" xfId="4400" xr:uid="{00000000-0005-0000-0000-0000861A0000}"/>
    <cellStyle name="Normal 5 3 5 6 2 2" xfId="8623" xr:uid="{00000000-0005-0000-0000-0000871A0000}"/>
    <cellStyle name="Normal 5 3 5 6 2 2 2" xfId="17062" xr:uid="{7BE52B3C-AAFF-49DD-BB88-76B47EBCC00E}"/>
    <cellStyle name="Normal 5 3 5 6 2 3" xfId="12844" xr:uid="{5E28108C-9F0E-4B1C-A223-0224EB7E8CBD}"/>
    <cellStyle name="Normal 5 3 5 6 3" xfId="6478" xr:uid="{00000000-0005-0000-0000-0000881A0000}"/>
    <cellStyle name="Normal 5 3 5 6 3 2" xfId="14917" xr:uid="{4859D40E-5060-4FE4-B55F-4DF02C9335B3}"/>
    <cellStyle name="Normal 5 3 5 6 4" xfId="10699" xr:uid="{2CCC0E0E-A373-4CEE-9137-1D863BEA82C6}"/>
    <cellStyle name="Normal 5 3 5 7" xfId="2607" xr:uid="{00000000-0005-0000-0000-0000891A0000}"/>
    <cellStyle name="Normal 5 3 5 7 2" xfId="6891" xr:uid="{00000000-0005-0000-0000-00008A1A0000}"/>
    <cellStyle name="Normal 5 3 5 7 2 2" xfId="15330" xr:uid="{AB06BF42-5928-4B1A-A8CB-5F4BBCE824AB}"/>
    <cellStyle name="Normal 5 3 5 7 3" xfId="11112" xr:uid="{BC4F9060-5B01-4CC9-99C2-1BD7484F051B}"/>
    <cellStyle name="Normal 5 3 5 8" xfId="4826" xr:uid="{00000000-0005-0000-0000-00008B1A0000}"/>
    <cellStyle name="Normal 5 3 5 8 2" xfId="13265" xr:uid="{60C109A9-3BB1-46C7-AB61-5CC8DC157365}"/>
    <cellStyle name="Normal 5 3 5 9" xfId="9047" xr:uid="{7C588628-2231-4000-9D63-5692AD052916}"/>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15825" xr:uid="{D78D2178-170F-49C9-B938-DD2CB731978D}"/>
    <cellStyle name="Normal 5 3 6 2 2 3" xfId="11607" xr:uid="{B538A56E-2985-4198-B951-DF22A5313221}"/>
    <cellStyle name="Normal 5 3 6 2 3" xfId="5241" xr:uid="{00000000-0005-0000-0000-0000901A0000}"/>
    <cellStyle name="Normal 5 3 6 2 3 2" xfId="13680" xr:uid="{3D61DA6C-47BA-4D8A-A28C-D672D0AF4D01}"/>
    <cellStyle name="Normal 5 3 6 2 4" xfId="9462" xr:uid="{0CE40511-1B20-48AE-A7AD-F394C63A80C7}"/>
    <cellStyle name="Normal 5 3 6 3" xfId="1346" xr:uid="{00000000-0005-0000-0000-0000911A0000}"/>
    <cellStyle name="Normal 5 3 6 3 2" xfId="3576" xr:uid="{00000000-0005-0000-0000-0000921A0000}"/>
    <cellStyle name="Normal 5 3 6 3 2 2" xfId="7799" xr:uid="{00000000-0005-0000-0000-0000931A0000}"/>
    <cellStyle name="Normal 5 3 6 3 2 2 2" xfId="16238" xr:uid="{13A417D0-4BD5-4C23-B0D9-5C1403BDB38A}"/>
    <cellStyle name="Normal 5 3 6 3 2 3" xfId="12020" xr:uid="{E2D3BAFD-5BAE-45CC-A575-D80C3CE0D272}"/>
    <cellStyle name="Normal 5 3 6 3 3" xfId="5654" xr:uid="{00000000-0005-0000-0000-0000941A0000}"/>
    <cellStyle name="Normal 5 3 6 3 3 2" xfId="14093" xr:uid="{A129F8F5-FA40-40FD-A737-D3FBC33C14BF}"/>
    <cellStyle name="Normal 5 3 6 3 4" xfId="9875" xr:uid="{13EC6051-3CB2-457D-AC88-D2EE2A5BB8FB}"/>
    <cellStyle name="Normal 5 3 6 4" xfId="1759" xr:uid="{00000000-0005-0000-0000-0000951A0000}"/>
    <cellStyle name="Normal 5 3 6 4 2" xfId="3989" xr:uid="{00000000-0005-0000-0000-0000961A0000}"/>
    <cellStyle name="Normal 5 3 6 4 2 2" xfId="8212" xr:uid="{00000000-0005-0000-0000-0000971A0000}"/>
    <cellStyle name="Normal 5 3 6 4 2 2 2" xfId="16651" xr:uid="{09955A10-2B6F-4492-B50E-0718A111B0DB}"/>
    <cellStyle name="Normal 5 3 6 4 2 3" xfId="12433" xr:uid="{7ADBB5A2-9678-4424-87F4-4B9667464F71}"/>
    <cellStyle name="Normal 5 3 6 4 3" xfId="6067" xr:uid="{00000000-0005-0000-0000-0000981A0000}"/>
    <cellStyle name="Normal 5 3 6 4 3 2" xfId="14506" xr:uid="{1964520D-BF67-4831-8529-462CBC1F7F43}"/>
    <cellStyle name="Normal 5 3 6 4 4" xfId="10288" xr:uid="{DE2BBDCA-78ED-4336-8C1F-571C59023B44}"/>
    <cellStyle name="Normal 5 3 6 5" xfId="2173" xr:uid="{00000000-0005-0000-0000-0000991A0000}"/>
    <cellStyle name="Normal 5 3 6 5 2" xfId="4402" xr:uid="{00000000-0005-0000-0000-00009A1A0000}"/>
    <cellStyle name="Normal 5 3 6 5 2 2" xfId="8625" xr:uid="{00000000-0005-0000-0000-00009B1A0000}"/>
    <cellStyle name="Normal 5 3 6 5 2 2 2" xfId="17064" xr:uid="{17FBD3C8-F819-4214-8F79-66118CD5CE1C}"/>
    <cellStyle name="Normal 5 3 6 5 2 3" xfId="12846" xr:uid="{2A61D510-D0F4-4871-B7B5-0564518794E8}"/>
    <cellStyle name="Normal 5 3 6 5 3" xfId="6480" xr:uid="{00000000-0005-0000-0000-00009C1A0000}"/>
    <cellStyle name="Normal 5 3 6 5 3 2" xfId="14919" xr:uid="{FFDE598B-6528-4F0A-A07E-9DF4C1E80199}"/>
    <cellStyle name="Normal 5 3 6 5 4" xfId="10701" xr:uid="{43EC7DA9-A305-4B78-A4E9-6CBFFAC8FD0F}"/>
    <cellStyle name="Normal 5 3 6 6" xfId="2609" xr:uid="{00000000-0005-0000-0000-00009D1A0000}"/>
    <cellStyle name="Normal 5 3 6 6 2" xfId="6893" xr:uid="{00000000-0005-0000-0000-00009E1A0000}"/>
    <cellStyle name="Normal 5 3 6 6 2 2" xfId="15332" xr:uid="{023E84AF-932A-416E-AFEB-39B8486F6C28}"/>
    <cellStyle name="Normal 5 3 6 6 3" xfId="11114" xr:uid="{EF5D9A07-2400-4A39-8830-4F75B355AA84}"/>
    <cellStyle name="Normal 5 3 6 7" xfId="4828" xr:uid="{00000000-0005-0000-0000-00009F1A0000}"/>
    <cellStyle name="Normal 5 3 6 7 2" xfId="13267" xr:uid="{376C1000-A5EC-4998-9C96-22E26F3D0A18}"/>
    <cellStyle name="Normal 5 3 6 8" xfId="9049" xr:uid="{8CDB8697-3A91-4689-A8D8-C5E91E88D4F0}"/>
    <cellStyle name="Normal 5 3 7" xfId="913" xr:uid="{00000000-0005-0000-0000-0000A01A0000}"/>
    <cellStyle name="Normal 5 3 7 2" xfId="3148" xr:uid="{00000000-0005-0000-0000-0000A11A0000}"/>
    <cellStyle name="Normal 5 3 7 2 2" xfId="7371" xr:uid="{00000000-0005-0000-0000-0000A21A0000}"/>
    <cellStyle name="Normal 5 3 7 2 2 2" xfId="15810" xr:uid="{9ACB74A2-7932-4C55-A129-262E6A05F352}"/>
    <cellStyle name="Normal 5 3 7 2 3" xfId="11592" xr:uid="{67439BD0-28CE-40DC-A9BA-862136DA8398}"/>
    <cellStyle name="Normal 5 3 7 3" xfId="5226" xr:uid="{00000000-0005-0000-0000-0000A31A0000}"/>
    <cellStyle name="Normal 5 3 7 3 2" xfId="13665" xr:uid="{001D19CB-F0A3-49D3-BFDC-524A1517FCFC}"/>
    <cellStyle name="Normal 5 3 7 4" xfId="9447" xr:uid="{66E6D8B7-D170-4178-811C-2DC6E6A997B9}"/>
    <cellStyle name="Normal 5 3 8" xfId="1331" xr:uid="{00000000-0005-0000-0000-0000A41A0000}"/>
    <cellStyle name="Normal 5 3 8 2" xfId="3561" xr:uid="{00000000-0005-0000-0000-0000A51A0000}"/>
    <cellStyle name="Normal 5 3 8 2 2" xfId="7784" xr:uid="{00000000-0005-0000-0000-0000A61A0000}"/>
    <cellStyle name="Normal 5 3 8 2 2 2" xfId="16223" xr:uid="{004D66C2-CBA3-4A90-A951-917CD6B73246}"/>
    <cellStyle name="Normal 5 3 8 2 3" xfId="12005" xr:uid="{BC1C764D-7F09-4822-BB9C-5231698E77B2}"/>
    <cellStyle name="Normal 5 3 8 3" xfId="5639" xr:uid="{00000000-0005-0000-0000-0000A71A0000}"/>
    <cellStyle name="Normal 5 3 8 3 2" xfId="14078" xr:uid="{412FD91D-EDFF-482A-960B-DD1E882090F8}"/>
    <cellStyle name="Normal 5 3 8 4" xfId="9860" xr:uid="{12B90973-40A4-4CD7-AB94-2DCE272810DE}"/>
    <cellStyle name="Normal 5 3 9" xfId="1744" xr:uid="{00000000-0005-0000-0000-0000A81A0000}"/>
    <cellStyle name="Normal 5 3 9 2" xfId="3974" xr:uid="{00000000-0005-0000-0000-0000A91A0000}"/>
    <cellStyle name="Normal 5 3 9 2 2" xfId="8197" xr:uid="{00000000-0005-0000-0000-0000AA1A0000}"/>
    <cellStyle name="Normal 5 3 9 2 2 2" xfId="16636" xr:uid="{BC70BF8A-95C9-44EC-9556-C1CFF2AB4577}"/>
    <cellStyle name="Normal 5 3 9 2 3" xfId="12418" xr:uid="{4BEB5530-DD67-4992-A337-E8E5BE8CA11B}"/>
    <cellStyle name="Normal 5 3 9 3" xfId="6052" xr:uid="{00000000-0005-0000-0000-0000AB1A0000}"/>
    <cellStyle name="Normal 5 3 9 3 2" xfId="14491" xr:uid="{A4DD4399-21C2-4016-BD89-70440A99F0B8}"/>
    <cellStyle name="Normal 5 3 9 4" xfId="10273" xr:uid="{49AE779E-8455-4538-A60F-ED2876F21C1D}"/>
    <cellStyle name="Normal 5 4" xfId="456" xr:uid="{00000000-0005-0000-0000-0000AC1A0000}"/>
    <cellStyle name="Normal 5 4 10" xfId="4829" xr:uid="{00000000-0005-0000-0000-0000AD1A0000}"/>
    <cellStyle name="Normal 5 4 10 2" xfId="13268" xr:uid="{6CF9B01F-FB2D-4F4F-8B2C-20D35DFF2A22}"/>
    <cellStyle name="Normal 5 4 11" xfId="9050" xr:uid="{40CDCA42-2AE9-4CEB-968B-E75C64DF8465}"/>
    <cellStyle name="Normal 5 4 2" xfId="457" xr:uid="{00000000-0005-0000-0000-0000AE1A0000}"/>
    <cellStyle name="Normal 5 4 2 10" xfId="9051" xr:uid="{C2F9E148-79BC-440A-B346-7A9862C40EB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5829" xr:uid="{B4E32360-BEC2-48D6-9C77-7D8D22165A71}"/>
    <cellStyle name="Normal 5 4 2 2 2 2 2 3" xfId="11611" xr:uid="{6C2683CE-F5FD-447B-91B4-E817825CB74F}"/>
    <cellStyle name="Normal 5 4 2 2 2 2 3" xfId="5245" xr:uid="{00000000-0005-0000-0000-0000B41A0000}"/>
    <cellStyle name="Normal 5 4 2 2 2 2 3 2" xfId="13684" xr:uid="{1812076F-1A32-48EB-9DDB-1F38B95FC495}"/>
    <cellStyle name="Normal 5 4 2 2 2 2 4" xfId="9466" xr:uid="{B38503C7-B8A0-43DD-B20D-FDE6E92F0377}"/>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16242" xr:uid="{B242CC57-21C5-411D-A168-68DE1D18AE52}"/>
    <cellStyle name="Normal 5 4 2 2 2 3 2 3" xfId="12024" xr:uid="{AAE8354B-190A-435F-AB68-25494BBCE1FD}"/>
    <cellStyle name="Normal 5 4 2 2 2 3 3" xfId="5658" xr:uid="{00000000-0005-0000-0000-0000B81A0000}"/>
    <cellStyle name="Normal 5 4 2 2 2 3 3 2" xfId="14097" xr:uid="{B1EEBED0-7AB6-4549-B884-B69A20EFF059}"/>
    <cellStyle name="Normal 5 4 2 2 2 3 4" xfId="9879" xr:uid="{B5C860D4-C7C1-4B68-9AF2-AA6349CD7FD5}"/>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16655" xr:uid="{4BB7D3EE-9CB6-40F9-A0A5-52D641F527B7}"/>
    <cellStyle name="Normal 5 4 2 2 2 4 2 3" xfId="12437" xr:uid="{343C9F2A-A502-4F81-87C7-AE0C13CBFFCE}"/>
    <cellStyle name="Normal 5 4 2 2 2 4 3" xfId="6071" xr:uid="{00000000-0005-0000-0000-0000BC1A0000}"/>
    <cellStyle name="Normal 5 4 2 2 2 4 3 2" xfId="14510" xr:uid="{1703D3BB-4207-4EDA-AEB3-28668EACFE43}"/>
    <cellStyle name="Normal 5 4 2 2 2 4 4" xfId="10292" xr:uid="{E70A105A-87E4-4BE6-9750-8444A12F5A2D}"/>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17068" xr:uid="{B0D5C5DE-561C-4685-BC79-EE3DA9D515DE}"/>
    <cellStyle name="Normal 5 4 2 2 2 5 2 3" xfId="12850" xr:uid="{C5E2F86B-5BD1-441E-BA77-913E77238667}"/>
    <cellStyle name="Normal 5 4 2 2 2 5 3" xfId="6484" xr:uid="{00000000-0005-0000-0000-0000C01A0000}"/>
    <cellStyle name="Normal 5 4 2 2 2 5 3 2" xfId="14923" xr:uid="{338D2EEF-6EB4-4237-9C10-0B766BB531F5}"/>
    <cellStyle name="Normal 5 4 2 2 2 5 4" xfId="10705" xr:uid="{EF9ADE7C-DB01-45C3-AF09-9B8129D4B9A6}"/>
    <cellStyle name="Normal 5 4 2 2 2 6" xfId="2613" xr:uid="{00000000-0005-0000-0000-0000C11A0000}"/>
    <cellStyle name="Normal 5 4 2 2 2 6 2" xfId="6897" xr:uid="{00000000-0005-0000-0000-0000C21A0000}"/>
    <cellStyle name="Normal 5 4 2 2 2 6 2 2" xfId="15336" xr:uid="{5A78106C-4783-4500-A7B3-FBDCE8DDBA4F}"/>
    <cellStyle name="Normal 5 4 2 2 2 6 3" xfId="11118" xr:uid="{FE6236D8-1E6F-4F32-BCF8-2AB8B86EA790}"/>
    <cellStyle name="Normal 5 4 2 2 2 7" xfId="4832" xr:uid="{00000000-0005-0000-0000-0000C31A0000}"/>
    <cellStyle name="Normal 5 4 2 2 2 7 2" xfId="13271" xr:uid="{865A1D11-1391-42C6-8559-4251EF666094}"/>
    <cellStyle name="Normal 5 4 2 2 2 8" xfId="9053" xr:uid="{63E5AFFE-FD43-4FEE-8614-0A9833CD74DC}"/>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5828" xr:uid="{552EE557-9D4D-4037-BBF9-F18082B1F1F5}"/>
    <cellStyle name="Normal 5 4 2 2 3 2 3" xfId="11610" xr:uid="{4B94EB02-923E-497C-8646-A42996FB9698}"/>
    <cellStyle name="Normal 5 4 2 2 3 3" xfId="5244" xr:uid="{00000000-0005-0000-0000-0000C71A0000}"/>
    <cellStyle name="Normal 5 4 2 2 3 3 2" xfId="13683" xr:uid="{4A866E7D-8E32-4496-AC14-F6434FB049F9}"/>
    <cellStyle name="Normal 5 4 2 2 3 4" xfId="9465" xr:uid="{B86A7428-3076-4AB2-8124-52E1113F1967}"/>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16241" xr:uid="{A163FB83-6476-468C-BABC-611CA33A7C91}"/>
    <cellStyle name="Normal 5 4 2 2 4 2 3" xfId="12023" xr:uid="{6C02E90E-BDCA-41E2-83E8-6962B0D1FB4C}"/>
    <cellStyle name="Normal 5 4 2 2 4 3" xfId="5657" xr:uid="{00000000-0005-0000-0000-0000CB1A0000}"/>
    <cellStyle name="Normal 5 4 2 2 4 3 2" xfId="14096" xr:uid="{160F21A8-A87E-4683-8C27-FDE939DBAD50}"/>
    <cellStyle name="Normal 5 4 2 2 4 4" xfId="9878" xr:uid="{C62CCAFE-3FC0-4BA0-8F43-9BBF34407667}"/>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16654" xr:uid="{05363F55-5FA8-4C14-9BF0-2864EE1BFC70}"/>
    <cellStyle name="Normal 5 4 2 2 5 2 3" xfId="12436" xr:uid="{7D2A7D6D-05DC-4E70-ACB0-811D191F73BA}"/>
    <cellStyle name="Normal 5 4 2 2 5 3" xfId="6070" xr:uid="{00000000-0005-0000-0000-0000CF1A0000}"/>
    <cellStyle name="Normal 5 4 2 2 5 3 2" xfId="14509" xr:uid="{77A4D108-F4F7-48D2-B7D0-B50EC7D40639}"/>
    <cellStyle name="Normal 5 4 2 2 5 4" xfId="10291" xr:uid="{DD0C74EA-D902-4DBA-A653-6D512BD59C45}"/>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17067" xr:uid="{F4F20655-8ED0-41D1-9D79-4CA0B3865921}"/>
    <cellStyle name="Normal 5 4 2 2 6 2 3" xfId="12849" xr:uid="{7E9733DD-F5B4-4F70-A82F-B94DD613CC5F}"/>
    <cellStyle name="Normal 5 4 2 2 6 3" xfId="6483" xr:uid="{00000000-0005-0000-0000-0000D31A0000}"/>
    <cellStyle name="Normal 5 4 2 2 6 3 2" xfId="14922" xr:uid="{9DB389C9-DFF7-4005-9498-C231FFCCBDD5}"/>
    <cellStyle name="Normal 5 4 2 2 6 4" xfId="10704" xr:uid="{D3719EF9-872A-4E5F-887F-1B773F8B3D4F}"/>
    <cellStyle name="Normal 5 4 2 2 7" xfId="2612" xr:uid="{00000000-0005-0000-0000-0000D41A0000}"/>
    <cellStyle name="Normal 5 4 2 2 7 2" xfId="6896" xr:uid="{00000000-0005-0000-0000-0000D51A0000}"/>
    <cellStyle name="Normal 5 4 2 2 7 2 2" xfId="15335" xr:uid="{E0A4467E-C87F-4D30-9DD8-629C1F5E02F5}"/>
    <cellStyle name="Normal 5 4 2 2 7 3" xfId="11117" xr:uid="{E4C639AC-E91D-4245-9DDF-8C518DA11323}"/>
    <cellStyle name="Normal 5 4 2 2 8" xfId="4831" xr:uid="{00000000-0005-0000-0000-0000D61A0000}"/>
    <cellStyle name="Normal 5 4 2 2 8 2" xfId="13270" xr:uid="{0650E24F-B966-4859-9E50-BB1B778C02DB}"/>
    <cellStyle name="Normal 5 4 2 2 9" xfId="9052" xr:uid="{A515D0AE-172F-48F8-BF40-DAD67A69BD59}"/>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5830" xr:uid="{48093609-CE1C-4626-8216-7349EA07A84B}"/>
    <cellStyle name="Normal 5 4 2 3 2 2 3" xfId="11612" xr:uid="{0BF62F98-2E74-4A38-8736-85C47D22CBBD}"/>
    <cellStyle name="Normal 5 4 2 3 2 3" xfId="5246" xr:uid="{00000000-0005-0000-0000-0000DB1A0000}"/>
    <cellStyle name="Normal 5 4 2 3 2 3 2" xfId="13685" xr:uid="{C79352BF-67F4-4AAC-8A3E-E8370F660FFE}"/>
    <cellStyle name="Normal 5 4 2 3 2 4" xfId="9467" xr:uid="{FCA77073-84DC-4A4F-A28F-4180EA0C31C7}"/>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16243" xr:uid="{662F6684-FF46-46F7-9ACA-84996339E5DE}"/>
    <cellStyle name="Normal 5 4 2 3 3 2 3" xfId="12025" xr:uid="{15216DB9-7F9E-41F7-9843-95C7DF3F8214}"/>
    <cellStyle name="Normal 5 4 2 3 3 3" xfId="5659" xr:uid="{00000000-0005-0000-0000-0000DF1A0000}"/>
    <cellStyle name="Normal 5 4 2 3 3 3 2" xfId="14098" xr:uid="{2B628B28-5AD3-4135-8A3F-FB995279EC4D}"/>
    <cellStyle name="Normal 5 4 2 3 3 4" xfId="9880" xr:uid="{B708098B-DC2D-4FF8-970C-57B4D464E27E}"/>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16656" xr:uid="{5553EF14-1C8C-467E-97C9-CBB8B4886D3C}"/>
    <cellStyle name="Normal 5 4 2 3 4 2 3" xfId="12438" xr:uid="{FE3F608B-2924-4EA0-9F77-9183A37076A3}"/>
    <cellStyle name="Normal 5 4 2 3 4 3" xfId="6072" xr:uid="{00000000-0005-0000-0000-0000E31A0000}"/>
    <cellStyle name="Normal 5 4 2 3 4 3 2" xfId="14511" xr:uid="{5F20EA9B-D186-45F2-A1C0-CAACD4FFDCF7}"/>
    <cellStyle name="Normal 5 4 2 3 4 4" xfId="10293" xr:uid="{4696BAC5-3780-4AC4-8FCB-CB915B8E829D}"/>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17069" xr:uid="{9B2026ED-CD14-4949-AA02-7AA09DDE55C0}"/>
    <cellStyle name="Normal 5 4 2 3 5 2 3" xfId="12851" xr:uid="{720BBEA8-8D2A-4C4C-AEED-5F90EC517C70}"/>
    <cellStyle name="Normal 5 4 2 3 5 3" xfId="6485" xr:uid="{00000000-0005-0000-0000-0000E71A0000}"/>
    <cellStyle name="Normal 5 4 2 3 5 3 2" xfId="14924" xr:uid="{58428A19-F1C0-4B85-A951-B58E00A0E19F}"/>
    <cellStyle name="Normal 5 4 2 3 5 4" xfId="10706" xr:uid="{2CDE767F-FC92-4C71-BAA6-FD0CE5BA56AF}"/>
    <cellStyle name="Normal 5 4 2 3 6" xfId="2614" xr:uid="{00000000-0005-0000-0000-0000E81A0000}"/>
    <cellStyle name="Normal 5 4 2 3 6 2" xfId="6898" xr:uid="{00000000-0005-0000-0000-0000E91A0000}"/>
    <cellStyle name="Normal 5 4 2 3 6 2 2" xfId="15337" xr:uid="{5E28C8F2-03FA-462D-B8E4-36DF4A20DDBD}"/>
    <cellStyle name="Normal 5 4 2 3 6 3" xfId="11119" xr:uid="{21181E99-B391-493C-895A-255DD311A57C}"/>
    <cellStyle name="Normal 5 4 2 3 7" xfId="4833" xr:uid="{00000000-0005-0000-0000-0000EA1A0000}"/>
    <cellStyle name="Normal 5 4 2 3 7 2" xfId="13272" xr:uid="{3CB0299B-754A-48B8-8CBC-9B62914E0383}"/>
    <cellStyle name="Normal 5 4 2 3 8" xfId="9054" xr:uid="{84998C73-BBE4-4AAB-A686-7BD4E6D1E0F6}"/>
    <cellStyle name="Normal 5 4 2 4" xfId="931" xr:uid="{00000000-0005-0000-0000-0000EB1A0000}"/>
    <cellStyle name="Normal 5 4 2 4 2" xfId="3165" xr:uid="{00000000-0005-0000-0000-0000EC1A0000}"/>
    <cellStyle name="Normal 5 4 2 4 2 2" xfId="7388" xr:uid="{00000000-0005-0000-0000-0000ED1A0000}"/>
    <cellStyle name="Normal 5 4 2 4 2 2 2" xfId="15827" xr:uid="{960A0245-A8A6-448E-80EC-FB226701D0B0}"/>
    <cellStyle name="Normal 5 4 2 4 2 3" xfId="11609" xr:uid="{61DBDD79-0016-4388-861D-F32AA71E614E}"/>
    <cellStyle name="Normal 5 4 2 4 3" xfId="5243" xr:uid="{00000000-0005-0000-0000-0000EE1A0000}"/>
    <cellStyle name="Normal 5 4 2 4 3 2" xfId="13682" xr:uid="{027D0C97-6FBB-4A72-B967-1ABB9F69790D}"/>
    <cellStyle name="Normal 5 4 2 4 4" xfId="9464" xr:uid="{60A15006-5EA4-4E41-91E9-E7259602737C}"/>
    <cellStyle name="Normal 5 4 2 5" xfId="1348" xr:uid="{00000000-0005-0000-0000-0000EF1A0000}"/>
    <cellStyle name="Normal 5 4 2 5 2" xfId="3578" xr:uid="{00000000-0005-0000-0000-0000F01A0000}"/>
    <cellStyle name="Normal 5 4 2 5 2 2" xfId="7801" xr:uid="{00000000-0005-0000-0000-0000F11A0000}"/>
    <cellStyle name="Normal 5 4 2 5 2 2 2" xfId="16240" xr:uid="{2D025301-172E-47F8-83B3-C43E991F40AA}"/>
    <cellStyle name="Normal 5 4 2 5 2 3" xfId="12022" xr:uid="{535F94E9-CB9E-4DBB-96A3-43DC2DA0ADDA}"/>
    <cellStyle name="Normal 5 4 2 5 3" xfId="5656" xr:uid="{00000000-0005-0000-0000-0000F21A0000}"/>
    <cellStyle name="Normal 5 4 2 5 3 2" xfId="14095" xr:uid="{82FE5060-1CC9-4B6F-8EE7-EEBFC04A38AB}"/>
    <cellStyle name="Normal 5 4 2 5 4" xfId="9877" xr:uid="{AB6D49A8-5187-4657-BCD9-9DC53474FBDB}"/>
    <cellStyle name="Normal 5 4 2 6" xfId="1761" xr:uid="{00000000-0005-0000-0000-0000F31A0000}"/>
    <cellStyle name="Normal 5 4 2 6 2" xfId="3991" xr:uid="{00000000-0005-0000-0000-0000F41A0000}"/>
    <cellStyle name="Normal 5 4 2 6 2 2" xfId="8214" xr:uid="{00000000-0005-0000-0000-0000F51A0000}"/>
    <cellStyle name="Normal 5 4 2 6 2 2 2" xfId="16653" xr:uid="{593C0E83-E5A9-4CE5-B139-3871B398B224}"/>
    <cellStyle name="Normal 5 4 2 6 2 3" xfId="12435" xr:uid="{A6B476DE-ED72-4AA0-9C7F-E5F0A1553713}"/>
    <cellStyle name="Normal 5 4 2 6 3" xfId="6069" xr:uid="{00000000-0005-0000-0000-0000F61A0000}"/>
    <cellStyle name="Normal 5 4 2 6 3 2" xfId="14508" xr:uid="{E4CCF235-3CE1-4A28-9461-938FF8C32584}"/>
    <cellStyle name="Normal 5 4 2 6 4" xfId="10290" xr:uid="{4FF97878-0D3A-4997-ADBD-5FB302588645}"/>
    <cellStyle name="Normal 5 4 2 7" xfId="2175" xr:uid="{00000000-0005-0000-0000-0000F71A0000}"/>
    <cellStyle name="Normal 5 4 2 7 2" xfId="4404" xr:uid="{00000000-0005-0000-0000-0000F81A0000}"/>
    <cellStyle name="Normal 5 4 2 7 2 2" xfId="8627" xr:uid="{00000000-0005-0000-0000-0000F91A0000}"/>
    <cellStyle name="Normal 5 4 2 7 2 2 2" xfId="17066" xr:uid="{A530B9D6-0A07-4E21-8667-AB26F537D0D5}"/>
    <cellStyle name="Normal 5 4 2 7 2 3" xfId="12848" xr:uid="{B71F5759-7061-4105-8144-E228CA6E4377}"/>
    <cellStyle name="Normal 5 4 2 7 3" xfId="6482" xr:uid="{00000000-0005-0000-0000-0000FA1A0000}"/>
    <cellStyle name="Normal 5 4 2 7 3 2" xfId="14921" xr:uid="{9A01A9B0-9BF4-4056-AF51-27B47F8446F6}"/>
    <cellStyle name="Normal 5 4 2 7 4" xfId="10703" xr:uid="{47E696D4-6443-4206-BC4C-9CF1BFDCA038}"/>
    <cellStyle name="Normal 5 4 2 8" xfId="2611" xr:uid="{00000000-0005-0000-0000-0000FB1A0000}"/>
    <cellStyle name="Normal 5 4 2 8 2" xfId="6895" xr:uid="{00000000-0005-0000-0000-0000FC1A0000}"/>
    <cellStyle name="Normal 5 4 2 8 2 2" xfId="15334" xr:uid="{2D460C96-FB3A-4EF3-97F5-D650EA86B4CB}"/>
    <cellStyle name="Normal 5 4 2 8 3" xfId="11116" xr:uid="{51122085-823A-49BA-BA1E-3D6D59A61854}"/>
    <cellStyle name="Normal 5 4 2 9" xfId="4830" xr:uid="{00000000-0005-0000-0000-0000FD1A0000}"/>
    <cellStyle name="Normal 5 4 2 9 2" xfId="13269" xr:uid="{766957C2-13B4-43A2-ADE2-175B38537C1B}"/>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5832" xr:uid="{D90C7E89-4963-47C9-AF64-C249818133AA}"/>
    <cellStyle name="Normal 5 4 3 2 2 2 3" xfId="11614" xr:uid="{3A78E211-E474-45FB-8621-5B6259EB732A}"/>
    <cellStyle name="Normal 5 4 3 2 2 3" xfId="5248" xr:uid="{00000000-0005-0000-0000-0000031B0000}"/>
    <cellStyle name="Normal 5 4 3 2 2 3 2" xfId="13687" xr:uid="{5A205F30-49CE-47CA-B867-192C0018CA92}"/>
    <cellStyle name="Normal 5 4 3 2 2 4" xfId="9469" xr:uid="{87CF614B-379B-4EE0-8E44-579CCA1845C1}"/>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16245" xr:uid="{4FAD6384-0ADB-47C0-A366-FB037237B7FE}"/>
    <cellStyle name="Normal 5 4 3 2 3 2 3" xfId="12027" xr:uid="{4ABA2323-89B6-49BE-A54F-5C135E6ED6CA}"/>
    <cellStyle name="Normal 5 4 3 2 3 3" xfId="5661" xr:uid="{00000000-0005-0000-0000-0000071B0000}"/>
    <cellStyle name="Normal 5 4 3 2 3 3 2" xfId="14100" xr:uid="{2BBEC403-4656-44EE-BD09-4C0625B8E922}"/>
    <cellStyle name="Normal 5 4 3 2 3 4" xfId="9882" xr:uid="{66FD336A-614E-4347-AFAC-6F453F631EBC}"/>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16658" xr:uid="{7B1B940E-7E99-4EBA-8F10-109D64ECE31B}"/>
    <cellStyle name="Normal 5 4 3 2 4 2 3" xfId="12440" xr:uid="{4E5296C7-7E71-4F4E-ADA5-8DE1B8B6DF00}"/>
    <cellStyle name="Normal 5 4 3 2 4 3" xfId="6074" xr:uid="{00000000-0005-0000-0000-00000B1B0000}"/>
    <cellStyle name="Normal 5 4 3 2 4 3 2" xfId="14513" xr:uid="{9954D129-D0DE-434A-A4B5-F3FEF7F018F4}"/>
    <cellStyle name="Normal 5 4 3 2 4 4" xfId="10295" xr:uid="{8B23336A-D30A-4A95-9B94-3F3C8AB72294}"/>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17071" xr:uid="{D47D5733-3D3B-4DCD-983A-31F93B1B37D5}"/>
    <cellStyle name="Normal 5 4 3 2 5 2 3" xfId="12853" xr:uid="{7B6645F2-3B2A-49D4-A6C4-EFCB9F005E73}"/>
    <cellStyle name="Normal 5 4 3 2 5 3" xfId="6487" xr:uid="{00000000-0005-0000-0000-00000F1B0000}"/>
    <cellStyle name="Normal 5 4 3 2 5 3 2" xfId="14926" xr:uid="{B36A02A2-B9D8-4EAA-ADEF-FAF277EE094A}"/>
    <cellStyle name="Normal 5 4 3 2 5 4" xfId="10708" xr:uid="{58513ACF-8996-4085-8BD9-42AEB73603E9}"/>
    <cellStyle name="Normal 5 4 3 2 6" xfId="2616" xr:uid="{00000000-0005-0000-0000-0000101B0000}"/>
    <cellStyle name="Normal 5 4 3 2 6 2" xfId="6900" xr:uid="{00000000-0005-0000-0000-0000111B0000}"/>
    <cellStyle name="Normal 5 4 3 2 6 2 2" xfId="15339" xr:uid="{302E5DC8-1FA9-46F3-A726-EE2D33EAD876}"/>
    <cellStyle name="Normal 5 4 3 2 6 3" xfId="11121" xr:uid="{2333AF31-385E-4443-BF3D-170B02105027}"/>
    <cellStyle name="Normal 5 4 3 2 7" xfId="4835" xr:uid="{00000000-0005-0000-0000-0000121B0000}"/>
    <cellStyle name="Normal 5 4 3 2 7 2" xfId="13274" xr:uid="{9117EA6E-34EE-466B-A7C4-1B3AB6E5F196}"/>
    <cellStyle name="Normal 5 4 3 2 8" xfId="9056" xr:uid="{74593EE8-AC86-4EBE-92E7-AED17B2C1F1D}"/>
    <cellStyle name="Normal 5 4 3 3" xfId="935" xr:uid="{00000000-0005-0000-0000-0000131B0000}"/>
    <cellStyle name="Normal 5 4 3 3 2" xfId="3169" xr:uid="{00000000-0005-0000-0000-0000141B0000}"/>
    <cellStyle name="Normal 5 4 3 3 2 2" xfId="7392" xr:uid="{00000000-0005-0000-0000-0000151B0000}"/>
    <cellStyle name="Normal 5 4 3 3 2 2 2" xfId="15831" xr:uid="{52B76D9B-1559-4621-AEDF-B5D8E792B256}"/>
    <cellStyle name="Normal 5 4 3 3 2 3" xfId="11613" xr:uid="{5CB0EF36-B58D-4D58-8D1C-18C4D1B8158B}"/>
    <cellStyle name="Normal 5 4 3 3 3" xfId="5247" xr:uid="{00000000-0005-0000-0000-0000161B0000}"/>
    <cellStyle name="Normal 5 4 3 3 3 2" xfId="13686" xr:uid="{126C68C5-9137-4D1D-86EB-633164A97F15}"/>
    <cellStyle name="Normal 5 4 3 3 4" xfId="9468" xr:uid="{65D245D6-484F-4607-A59C-3787864D821C}"/>
    <cellStyle name="Normal 5 4 3 4" xfId="1352" xr:uid="{00000000-0005-0000-0000-0000171B0000}"/>
    <cellStyle name="Normal 5 4 3 4 2" xfId="3582" xr:uid="{00000000-0005-0000-0000-0000181B0000}"/>
    <cellStyle name="Normal 5 4 3 4 2 2" xfId="7805" xr:uid="{00000000-0005-0000-0000-0000191B0000}"/>
    <cellStyle name="Normal 5 4 3 4 2 2 2" xfId="16244" xr:uid="{43B2DFDE-9CF8-4101-B289-B4E973BB8288}"/>
    <cellStyle name="Normal 5 4 3 4 2 3" xfId="12026" xr:uid="{5C749E71-BBE9-4BE2-BD87-AA897F2E0352}"/>
    <cellStyle name="Normal 5 4 3 4 3" xfId="5660" xr:uid="{00000000-0005-0000-0000-00001A1B0000}"/>
    <cellStyle name="Normal 5 4 3 4 3 2" xfId="14099" xr:uid="{283661D0-2DE3-4712-98E8-3FD96EAE307F}"/>
    <cellStyle name="Normal 5 4 3 4 4" xfId="9881" xr:uid="{0E5D51C7-5980-4E85-8ECE-BBE287C7A31C}"/>
    <cellStyle name="Normal 5 4 3 5" xfId="1765" xr:uid="{00000000-0005-0000-0000-00001B1B0000}"/>
    <cellStyle name="Normal 5 4 3 5 2" xfId="3995" xr:uid="{00000000-0005-0000-0000-00001C1B0000}"/>
    <cellStyle name="Normal 5 4 3 5 2 2" xfId="8218" xr:uid="{00000000-0005-0000-0000-00001D1B0000}"/>
    <cellStyle name="Normal 5 4 3 5 2 2 2" xfId="16657" xr:uid="{9EE5CDE9-5308-497A-BB78-301FC0A4C58C}"/>
    <cellStyle name="Normal 5 4 3 5 2 3" xfId="12439" xr:uid="{068A4FF7-56C8-4436-AD17-5D19B60AF599}"/>
    <cellStyle name="Normal 5 4 3 5 3" xfId="6073" xr:uid="{00000000-0005-0000-0000-00001E1B0000}"/>
    <cellStyle name="Normal 5 4 3 5 3 2" xfId="14512" xr:uid="{224E6069-4680-4AC3-9421-E1244AE9E9EF}"/>
    <cellStyle name="Normal 5 4 3 5 4" xfId="10294" xr:uid="{C066537F-DA16-4258-AB1C-0E584140F839}"/>
    <cellStyle name="Normal 5 4 3 6" xfId="2179" xr:uid="{00000000-0005-0000-0000-00001F1B0000}"/>
    <cellStyle name="Normal 5 4 3 6 2" xfId="4408" xr:uid="{00000000-0005-0000-0000-0000201B0000}"/>
    <cellStyle name="Normal 5 4 3 6 2 2" xfId="8631" xr:uid="{00000000-0005-0000-0000-0000211B0000}"/>
    <cellStyle name="Normal 5 4 3 6 2 2 2" xfId="17070" xr:uid="{E8EF6B8C-CD16-4BB5-BDDE-418646FE95AC}"/>
    <cellStyle name="Normal 5 4 3 6 2 3" xfId="12852" xr:uid="{411B7A37-5882-4888-BCBF-7D735E6990BC}"/>
    <cellStyle name="Normal 5 4 3 6 3" xfId="6486" xr:uid="{00000000-0005-0000-0000-0000221B0000}"/>
    <cellStyle name="Normal 5 4 3 6 3 2" xfId="14925" xr:uid="{DFB3A47B-0423-46C7-8061-5739D1E29803}"/>
    <cellStyle name="Normal 5 4 3 6 4" xfId="10707" xr:uid="{C60131BE-0C14-4666-AD80-38972659D0B6}"/>
    <cellStyle name="Normal 5 4 3 7" xfId="2615" xr:uid="{00000000-0005-0000-0000-0000231B0000}"/>
    <cellStyle name="Normal 5 4 3 7 2" xfId="6899" xr:uid="{00000000-0005-0000-0000-0000241B0000}"/>
    <cellStyle name="Normal 5 4 3 7 2 2" xfId="15338" xr:uid="{043AA191-BC51-4FCB-9D2B-7A23385B3708}"/>
    <cellStyle name="Normal 5 4 3 7 3" xfId="11120" xr:uid="{BCF1A6F8-2C5E-4F31-8531-5355A48868CF}"/>
    <cellStyle name="Normal 5 4 3 8" xfId="4834" xr:uid="{00000000-0005-0000-0000-0000251B0000}"/>
    <cellStyle name="Normal 5 4 3 8 2" xfId="13273" xr:uid="{17E82020-A87B-4D4F-9E04-6F8D83AF5C84}"/>
    <cellStyle name="Normal 5 4 3 9" xfId="9055" xr:uid="{E10C61FC-81E6-48B3-BC1E-977219A7E02E}"/>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15833" xr:uid="{0B739D56-6C06-438F-984B-A7072C1B1844}"/>
    <cellStyle name="Normal 5 4 4 2 2 3" xfId="11615" xr:uid="{641433DA-1FB8-4331-9438-55E9FBD5F616}"/>
    <cellStyle name="Normal 5 4 4 2 3" xfId="5249" xr:uid="{00000000-0005-0000-0000-00002A1B0000}"/>
    <cellStyle name="Normal 5 4 4 2 3 2" xfId="13688" xr:uid="{D44B0230-064C-4493-93B1-4CE872670DE2}"/>
    <cellStyle name="Normal 5 4 4 2 4" xfId="9470" xr:uid="{7DA0415B-0CB2-41F4-8AC9-EC1E9C1FD302}"/>
    <cellStyle name="Normal 5 4 4 3" xfId="1354" xr:uid="{00000000-0005-0000-0000-00002B1B0000}"/>
    <cellStyle name="Normal 5 4 4 3 2" xfId="3584" xr:uid="{00000000-0005-0000-0000-00002C1B0000}"/>
    <cellStyle name="Normal 5 4 4 3 2 2" xfId="7807" xr:uid="{00000000-0005-0000-0000-00002D1B0000}"/>
    <cellStyle name="Normal 5 4 4 3 2 2 2" xfId="16246" xr:uid="{19AB3B60-A3B8-4786-A755-901C290D5278}"/>
    <cellStyle name="Normal 5 4 4 3 2 3" xfId="12028" xr:uid="{3DFF848E-4827-487D-BC64-62EBCC4D6136}"/>
    <cellStyle name="Normal 5 4 4 3 3" xfId="5662" xr:uid="{00000000-0005-0000-0000-00002E1B0000}"/>
    <cellStyle name="Normal 5 4 4 3 3 2" xfId="14101" xr:uid="{8BBED06A-0885-48D8-B554-0370BC6E1A87}"/>
    <cellStyle name="Normal 5 4 4 3 4" xfId="9883" xr:uid="{BE46A442-B5CE-4468-AC47-85E53A1EB2A0}"/>
    <cellStyle name="Normal 5 4 4 4" xfId="1767" xr:uid="{00000000-0005-0000-0000-00002F1B0000}"/>
    <cellStyle name="Normal 5 4 4 4 2" xfId="3997" xr:uid="{00000000-0005-0000-0000-0000301B0000}"/>
    <cellStyle name="Normal 5 4 4 4 2 2" xfId="8220" xr:uid="{00000000-0005-0000-0000-0000311B0000}"/>
    <cellStyle name="Normal 5 4 4 4 2 2 2" xfId="16659" xr:uid="{142F1329-7494-4341-9E07-E7A42C29B125}"/>
    <cellStyle name="Normal 5 4 4 4 2 3" xfId="12441" xr:uid="{04673EEF-1DAF-4BA1-9506-086DA7EAF749}"/>
    <cellStyle name="Normal 5 4 4 4 3" xfId="6075" xr:uid="{00000000-0005-0000-0000-0000321B0000}"/>
    <cellStyle name="Normal 5 4 4 4 3 2" xfId="14514" xr:uid="{8E5297AF-0632-4380-B18F-FEC0F91C7FAD}"/>
    <cellStyle name="Normal 5 4 4 4 4" xfId="10296" xr:uid="{FCBE0FC8-B02D-40DC-81D5-2FCE395A3E2E}"/>
    <cellStyle name="Normal 5 4 4 5" xfId="2181" xr:uid="{00000000-0005-0000-0000-0000331B0000}"/>
    <cellStyle name="Normal 5 4 4 5 2" xfId="4410" xr:uid="{00000000-0005-0000-0000-0000341B0000}"/>
    <cellStyle name="Normal 5 4 4 5 2 2" xfId="8633" xr:uid="{00000000-0005-0000-0000-0000351B0000}"/>
    <cellStyle name="Normal 5 4 4 5 2 2 2" xfId="17072" xr:uid="{781CAA38-1CEE-4E5B-969A-DE55CF209BC0}"/>
    <cellStyle name="Normal 5 4 4 5 2 3" xfId="12854" xr:uid="{FED8DF92-6F5B-46D5-9B82-8D3975B113E1}"/>
    <cellStyle name="Normal 5 4 4 5 3" xfId="6488" xr:uid="{00000000-0005-0000-0000-0000361B0000}"/>
    <cellStyle name="Normal 5 4 4 5 3 2" xfId="14927" xr:uid="{126A8337-0F53-43B4-8618-5210335D0987}"/>
    <cellStyle name="Normal 5 4 4 5 4" xfId="10709" xr:uid="{35B8B85D-AAD2-43BE-8D5F-A80E40E63240}"/>
    <cellStyle name="Normal 5 4 4 6" xfId="2617" xr:uid="{00000000-0005-0000-0000-0000371B0000}"/>
    <cellStyle name="Normal 5 4 4 6 2" xfId="6901" xr:uid="{00000000-0005-0000-0000-0000381B0000}"/>
    <cellStyle name="Normal 5 4 4 6 2 2" xfId="15340" xr:uid="{2FDE81D6-A460-48E9-BB72-5994735CFE72}"/>
    <cellStyle name="Normal 5 4 4 6 3" xfId="11122" xr:uid="{0C38224B-C8CC-4C37-812D-07098BEF1D6B}"/>
    <cellStyle name="Normal 5 4 4 7" xfId="4836" xr:uid="{00000000-0005-0000-0000-0000391B0000}"/>
    <cellStyle name="Normal 5 4 4 7 2" xfId="13275" xr:uid="{7485C5FA-75F8-4F6D-A474-FFAFBCA6E68E}"/>
    <cellStyle name="Normal 5 4 4 8" xfId="9057" xr:uid="{7D052F63-0BB4-414F-B28A-3CFBFA9BA961}"/>
    <cellStyle name="Normal 5 4 5" xfId="930" xr:uid="{00000000-0005-0000-0000-00003A1B0000}"/>
    <cellStyle name="Normal 5 4 5 2" xfId="3164" xr:uid="{00000000-0005-0000-0000-00003B1B0000}"/>
    <cellStyle name="Normal 5 4 5 2 2" xfId="7387" xr:uid="{00000000-0005-0000-0000-00003C1B0000}"/>
    <cellStyle name="Normal 5 4 5 2 2 2" xfId="15826" xr:uid="{F274FC14-2D13-410D-8DB5-896C2261174F}"/>
    <cellStyle name="Normal 5 4 5 2 3" xfId="11608" xr:uid="{0953BC95-457D-4350-95A6-54FC4E40A7F2}"/>
    <cellStyle name="Normal 5 4 5 3" xfId="5242" xr:uid="{00000000-0005-0000-0000-00003D1B0000}"/>
    <cellStyle name="Normal 5 4 5 3 2" xfId="13681" xr:uid="{C998A1B3-0C4B-498A-A2CA-2C466F2F58DE}"/>
    <cellStyle name="Normal 5 4 5 4" xfId="9463" xr:uid="{445FBDC4-AFAA-4CEB-9621-9CBC4ACCAA90}"/>
    <cellStyle name="Normal 5 4 6" xfId="1347" xr:uid="{00000000-0005-0000-0000-00003E1B0000}"/>
    <cellStyle name="Normal 5 4 6 2" xfId="3577" xr:uid="{00000000-0005-0000-0000-00003F1B0000}"/>
    <cellStyle name="Normal 5 4 6 2 2" xfId="7800" xr:uid="{00000000-0005-0000-0000-0000401B0000}"/>
    <cellStyle name="Normal 5 4 6 2 2 2" xfId="16239" xr:uid="{A97D7E90-0A67-4C1B-9365-562C56781E96}"/>
    <cellStyle name="Normal 5 4 6 2 3" xfId="12021" xr:uid="{01C4AECE-A81E-403C-8FC6-1E53B7619322}"/>
    <cellStyle name="Normal 5 4 6 3" xfId="5655" xr:uid="{00000000-0005-0000-0000-0000411B0000}"/>
    <cellStyle name="Normal 5 4 6 3 2" xfId="14094" xr:uid="{F478F0E4-2A54-4617-88D0-8BF1BA0DCD73}"/>
    <cellStyle name="Normal 5 4 6 4" xfId="9876" xr:uid="{1B195B22-A861-4B05-A7F2-192C5FB0D0D3}"/>
    <cellStyle name="Normal 5 4 7" xfId="1760" xr:uid="{00000000-0005-0000-0000-0000421B0000}"/>
    <cellStyle name="Normal 5 4 7 2" xfId="3990" xr:uid="{00000000-0005-0000-0000-0000431B0000}"/>
    <cellStyle name="Normal 5 4 7 2 2" xfId="8213" xr:uid="{00000000-0005-0000-0000-0000441B0000}"/>
    <cellStyle name="Normal 5 4 7 2 2 2" xfId="16652" xr:uid="{A8C237A8-1362-4047-AA59-DE9C1C5F0EB9}"/>
    <cellStyle name="Normal 5 4 7 2 3" xfId="12434" xr:uid="{AFFE3EA2-B8CE-4179-A5D1-0CC09E22E032}"/>
    <cellStyle name="Normal 5 4 7 3" xfId="6068" xr:uid="{00000000-0005-0000-0000-0000451B0000}"/>
    <cellStyle name="Normal 5 4 7 3 2" xfId="14507" xr:uid="{09A7B3AD-83B0-4D6D-BF20-D7BF75DBE18A}"/>
    <cellStyle name="Normal 5 4 7 4" xfId="10289" xr:uid="{DF870C48-1B39-43EA-AEF0-593EE9CA025D}"/>
    <cellStyle name="Normal 5 4 8" xfId="2174" xr:uid="{00000000-0005-0000-0000-0000461B0000}"/>
    <cellStyle name="Normal 5 4 8 2" xfId="4403" xr:uid="{00000000-0005-0000-0000-0000471B0000}"/>
    <cellStyle name="Normal 5 4 8 2 2" xfId="8626" xr:uid="{00000000-0005-0000-0000-0000481B0000}"/>
    <cellStyle name="Normal 5 4 8 2 2 2" xfId="17065" xr:uid="{BC7C1C54-D61D-4542-838D-539A9178AFC6}"/>
    <cellStyle name="Normal 5 4 8 2 3" xfId="12847" xr:uid="{E35BEC75-BDB6-47BC-883D-B336BEC9E1F7}"/>
    <cellStyle name="Normal 5 4 8 3" xfId="6481" xr:uid="{00000000-0005-0000-0000-0000491B0000}"/>
    <cellStyle name="Normal 5 4 8 3 2" xfId="14920" xr:uid="{9FCE7713-E2C6-417A-BE94-3B46E47D1CBE}"/>
    <cellStyle name="Normal 5 4 8 4" xfId="10702" xr:uid="{950C817A-5A1D-456D-B299-DE30B85FB945}"/>
    <cellStyle name="Normal 5 4 9" xfId="2610" xr:uid="{00000000-0005-0000-0000-00004A1B0000}"/>
    <cellStyle name="Normal 5 4 9 2" xfId="6894" xr:uid="{00000000-0005-0000-0000-00004B1B0000}"/>
    <cellStyle name="Normal 5 4 9 2 2" xfId="15333" xr:uid="{E94130BF-976F-46F6-B290-901C2F939B0D}"/>
    <cellStyle name="Normal 5 4 9 3" xfId="11115" xr:uid="{6C4C7ACF-9AFA-443F-B06D-66B9B5C1AF87}"/>
    <cellStyle name="Normal 5 5" xfId="464" xr:uid="{00000000-0005-0000-0000-00004C1B0000}"/>
    <cellStyle name="Normal 5 5 10" xfId="9058" xr:uid="{62E377A2-C571-45EF-8223-00866AB6D876}"/>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5836" xr:uid="{869DA14C-5B37-4E07-A33F-4B9F4FAF6FAF}"/>
    <cellStyle name="Normal 5 5 2 2 2 2 3" xfId="11618" xr:uid="{9C9CF5A2-E82C-4401-B6A3-960EF70C1207}"/>
    <cellStyle name="Normal 5 5 2 2 2 3" xfId="5252" xr:uid="{00000000-0005-0000-0000-0000521B0000}"/>
    <cellStyle name="Normal 5 5 2 2 2 3 2" xfId="13691" xr:uid="{030C3BBE-FF0F-4BDA-BB99-2D24FC0C5D17}"/>
    <cellStyle name="Normal 5 5 2 2 2 4" xfId="9473" xr:uid="{AF0A9861-687F-4C08-8ED8-F52D60C5FE92}"/>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16249" xr:uid="{E31D1A9E-4C2B-4305-BD08-90AACEEA1DFC}"/>
    <cellStyle name="Normal 5 5 2 2 3 2 3" xfId="12031" xr:uid="{44EB7697-2CB2-46B0-A3DC-2C102CB05CAE}"/>
    <cellStyle name="Normal 5 5 2 2 3 3" xfId="5665" xr:uid="{00000000-0005-0000-0000-0000561B0000}"/>
    <cellStyle name="Normal 5 5 2 2 3 3 2" xfId="14104" xr:uid="{C7297CD5-5BBC-4777-8B96-834288097C7A}"/>
    <cellStyle name="Normal 5 5 2 2 3 4" xfId="9886" xr:uid="{EA8FDBB0-BA82-4AAE-B114-112A98F7E528}"/>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16662" xr:uid="{14EBEB21-DEF8-4A63-8A2A-379EEBCD9D0A}"/>
    <cellStyle name="Normal 5 5 2 2 4 2 3" xfId="12444" xr:uid="{31126417-5E3E-4117-BA1F-23FB26233CF1}"/>
    <cellStyle name="Normal 5 5 2 2 4 3" xfId="6078" xr:uid="{00000000-0005-0000-0000-00005A1B0000}"/>
    <cellStyle name="Normal 5 5 2 2 4 3 2" xfId="14517" xr:uid="{33F8C6F9-CE17-42C8-A684-5C395FC0B431}"/>
    <cellStyle name="Normal 5 5 2 2 4 4" xfId="10299" xr:uid="{CFB74BF9-92D3-477C-9099-AA1E1A509831}"/>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17075" xr:uid="{7043211D-5895-4FF5-8D5F-3691EE581E9C}"/>
    <cellStyle name="Normal 5 5 2 2 5 2 3" xfId="12857" xr:uid="{44BED15D-6F7C-49A2-98BD-332E73BA4961}"/>
    <cellStyle name="Normal 5 5 2 2 5 3" xfId="6491" xr:uid="{00000000-0005-0000-0000-00005E1B0000}"/>
    <cellStyle name="Normal 5 5 2 2 5 3 2" xfId="14930" xr:uid="{294F563F-A07A-4D24-A62F-99BFA0344270}"/>
    <cellStyle name="Normal 5 5 2 2 5 4" xfId="10712" xr:uid="{29E627DE-F319-4BD0-AE8E-4F0BBAA2BBCC}"/>
    <cellStyle name="Normal 5 5 2 2 6" xfId="2620" xr:uid="{00000000-0005-0000-0000-00005F1B0000}"/>
    <cellStyle name="Normal 5 5 2 2 6 2" xfId="6904" xr:uid="{00000000-0005-0000-0000-0000601B0000}"/>
    <cellStyle name="Normal 5 5 2 2 6 2 2" xfId="15343" xr:uid="{06AD0C0D-A328-4943-9351-DE0EEB974576}"/>
    <cellStyle name="Normal 5 5 2 2 6 3" xfId="11125" xr:uid="{5CCD9710-0E56-430F-98E7-59B745BDA629}"/>
    <cellStyle name="Normal 5 5 2 2 7" xfId="4839" xr:uid="{00000000-0005-0000-0000-0000611B0000}"/>
    <cellStyle name="Normal 5 5 2 2 7 2" xfId="13278" xr:uid="{AA0D0EA1-3960-481A-91EC-5579D89834CB}"/>
    <cellStyle name="Normal 5 5 2 2 8" xfId="9060" xr:uid="{77AD83B3-FBF0-4687-8FE6-ADDB709C9489}"/>
    <cellStyle name="Normal 5 5 2 3" xfId="939" xr:uid="{00000000-0005-0000-0000-0000621B0000}"/>
    <cellStyle name="Normal 5 5 2 3 2" xfId="3173" xr:uid="{00000000-0005-0000-0000-0000631B0000}"/>
    <cellStyle name="Normal 5 5 2 3 2 2" xfId="7396" xr:uid="{00000000-0005-0000-0000-0000641B0000}"/>
    <cellStyle name="Normal 5 5 2 3 2 2 2" xfId="15835" xr:uid="{086A0991-6DDC-4730-984A-9E35B1F80D0B}"/>
    <cellStyle name="Normal 5 5 2 3 2 3" xfId="11617" xr:uid="{43D0EF80-CDFA-4A9E-AD8E-F3BCF1F18ABB}"/>
    <cellStyle name="Normal 5 5 2 3 3" xfId="5251" xr:uid="{00000000-0005-0000-0000-0000651B0000}"/>
    <cellStyle name="Normal 5 5 2 3 3 2" xfId="13690" xr:uid="{9C5C1CC5-CC54-4E04-A7EC-485381313018}"/>
    <cellStyle name="Normal 5 5 2 3 4" xfId="9472" xr:uid="{717A037E-02D9-4B62-9052-99ED133F2226}"/>
    <cellStyle name="Normal 5 5 2 4" xfId="1356" xr:uid="{00000000-0005-0000-0000-0000661B0000}"/>
    <cellStyle name="Normal 5 5 2 4 2" xfId="3586" xr:uid="{00000000-0005-0000-0000-0000671B0000}"/>
    <cellStyle name="Normal 5 5 2 4 2 2" xfId="7809" xr:uid="{00000000-0005-0000-0000-0000681B0000}"/>
    <cellStyle name="Normal 5 5 2 4 2 2 2" xfId="16248" xr:uid="{9F21B4E0-DF09-400E-AE61-3821A1BB154B}"/>
    <cellStyle name="Normal 5 5 2 4 2 3" xfId="12030" xr:uid="{A4807974-60A3-44DB-A19D-7FBA6432FC31}"/>
    <cellStyle name="Normal 5 5 2 4 3" xfId="5664" xr:uid="{00000000-0005-0000-0000-0000691B0000}"/>
    <cellStyle name="Normal 5 5 2 4 3 2" xfId="14103" xr:uid="{1D680795-1B8C-48FB-8A6C-9A26C02C3BED}"/>
    <cellStyle name="Normal 5 5 2 4 4" xfId="9885" xr:uid="{C7DE3951-E5B9-4B2D-8DB5-729D736272CC}"/>
    <cellStyle name="Normal 5 5 2 5" xfId="1769" xr:uid="{00000000-0005-0000-0000-00006A1B0000}"/>
    <cellStyle name="Normal 5 5 2 5 2" xfId="3999" xr:uid="{00000000-0005-0000-0000-00006B1B0000}"/>
    <cellStyle name="Normal 5 5 2 5 2 2" xfId="8222" xr:uid="{00000000-0005-0000-0000-00006C1B0000}"/>
    <cellStyle name="Normal 5 5 2 5 2 2 2" xfId="16661" xr:uid="{9115EF61-A2F8-47C1-A1A2-6F59E2F43D3C}"/>
    <cellStyle name="Normal 5 5 2 5 2 3" xfId="12443" xr:uid="{E1B533C0-4830-4EAB-B6BC-8A23CB706271}"/>
    <cellStyle name="Normal 5 5 2 5 3" xfId="6077" xr:uid="{00000000-0005-0000-0000-00006D1B0000}"/>
    <cellStyle name="Normal 5 5 2 5 3 2" xfId="14516" xr:uid="{17477BE5-A9DE-4746-8030-60DD31895635}"/>
    <cellStyle name="Normal 5 5 2 5 4" xfId="10298" xr:uid="{17D37CB8-771F-453B-B4C5-A818E0236DE5}"/>
    <cellStyle name="Normal 5 5 2 6" xfId="2183" xr:uid="{00000000-0005-0000-0000-00006E1B0000}"/>
    <cellStyle name="Normal 5 5 2 6 2" xfId="4412" xr:uid="{00000000-0005-0000-0000-00006F1B0000}"/>
    <cellStyle name="Normal 5 5 2 6 2 2" xfId="8635" xr:uid="{00000000-0005-0000-0000-0000701B0000}"/>
    <cellStyle name="Normal 5 5 2 6 2 2 2" xfId="17074" xr:uid="{5DFAAD58-2CE3-4BE2-B7BE-97C6D9B345EF}"/>
    <cellStyle name="Normal 5 5 2 6 2 3" xfId="12856" xr:uid="{D5A2B51B-92B0-4A82-8594-BF438AB5BC98}"/>
    <cellStyle name="Normal 5 5 2 6 3" xfId="6490" xr:uid="{00000000-0005-0000-0000-0000711B0000}"/>
    <cellStyle name="Normal 5 5 2 6 3 2" xfId="14929" xr:uid="{B81D3FD5-B68E-409C-B281-D79ED4D7123B}"/>
    <cellStyle name="Normal 5 5 2 6 4" xfId="10711" xr:uid="{41A4D979-14FC-4221-8EAE-298C6E953B9F}"/>
    <cellStyle name="Normal 5 5 2 7" xfId="2619" xr:uid="{00000000-0005-0000-0000-0000721B0000}"/>
    <cellStyle name="Normal 5 5 2 7 2" xfId="6903" xr:uid="{00000000-0005-0000-0000-0000731B0000}"/>
    <cellStyle name="Normal 5 5 2 7 2 2" xfId="15342" xr:uid="{987DDB6F-8007-4CC2-9A99-17D053E97BCB}"/>
    <cellStyle name="Normal 5 5 2 7 3" xfId="11124" xr:uid="{A9BFC117-B071-4552-9BDB-65F3858C33CF}"/>
    <cellStyle name="Normal 5 5 2 8" xfId="4838" xr:uid="{00000000-0005-0000-0000-0000741B0000}"/>
    <cellStyle name="Normal 5 5 2 8 2" xfId="13277" xr:uid="{6F97ABF9-98E5-40EB-B97F-4256595484F9}"/>
    <cellStyle name="Normal 5 5 2 9" xfId="9059" xr:uid="{389E2BED-AB61-4364-A4E7-38660D72CB46}"/>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15837" xr:uid="{7A7E9FBD-F5F1-42FC-A42E-40ECB1CDC900}"/>
    <cellStyle name="Normal 5 5 3 2 2 3" xfId="11619" xr:uid="{394769CA-DB7D-49DF-9A4A-7C2EBD53E5B1}"/>
    <cellStyle name="Normal 5 5 3 2 3" xfId="5253" xr:uid="{00000000-0005-0000-0000-0000791B0000}"/>
    <cellStyle name="Normal 5 5 3 2 3 2" xfId="13692" xr:uid="{27AB1AAF-0869-419B-BBEB-026B9815D9D0}"/>
    <cellStyle name="Normal 5 5 3 2 4" xfId="9474" xr:uid="{29876797-79BD-444E-AC34-A8DC8024F04F}"/>
    <cellStyle name="Normal 5 5 3 3" xfId="1358" xr:uid="{00000000-0005-0000-0000-00007A1B0000}"/>
    <cellStyle name="Normal 5 5 3 3 2" xfId="3588" xr:uid="{00000000-0005-0000-0000-00007B1B0000}"/>
    <cellStyle name="Normal 5 5 3 3 2 2" xfId="7811" xr:uid="{00000000-0005-0000-0000-00007C1B0000}"/>
    <cellStyle name="Normal 5 5 3 3 2 2 2" xfId="16250" xr:uid="{75DA5951-F991-4510-BE16-1C2EBFA4BBA3}"/>
    <cellStyle name="Normal 5 5 3 3 2 3" xfId="12032" xr:uid="{F68FC345-6A58-4B99-A34D-03BA269F847A}"/>
    <cellStyle name="Normal 5 5 3 3 3" xfId="5666" xr:uid="{00000000-0005-0000-0000-00007D1B0000}"/>
    <cellStyle name="Normal 5 5 3 3 3 2" xfId="14105" xr:uid="{8F10905D-45BF-4C52-9E10-6A99D8773CA6}"/>
    <cellStyle name="Normal 5 5 3 3 4" xfId="9887" xr:uid="{DD5B563E-EDAE-42D7-A4C5-8787D7D0E7B8}"/>
    <cellStyle name="Normal 5 5 3 4" xfId="1771" xr:uid="{00000000-0005-0000-0000-00007E1B0000}"/>
    <cellStyle name="Normal 5 5 3 4 2" xfId="4001" xr:uid="{00000000-0005-0000-0000-00007F1B0000}"/>
    <cellStyle name="Normal 5 5 3 4 2 2" xfId="8224" xr:uid="{00000000-0005-0000-0000-0000801B0000}"/>
    <cellStyle name="Normal 5 5 3 4 2 2 2" xfId="16663" xr:uid="{DEB6966D-207B-4BF9-BD49-1EFC8DC133CD}"/>
    <cellStyle name="Normal 5 5 3 4 2 3" xfId="12445" xr:uid="{9EB47BE2-6AAC-4CA0-8203-7694605E0AA7}"/>
    <cellStyle name="Normal 5 5 3 4 3" xfId="6079" xr:uid="{00000000-0005-0000-0000-0000811B0000}"/>
    <cellStyle name="Normal 5 5 3 4 3 2" xfId="14518" xr:uid="{52420F26-78DD-4911-92D7-6A0FC5892814}"/>
    <cellStyle name="Normal 5 5 3 4 4" xfId="10300" xr:uid="{DC04D0E5-342C-49BB-A9D1-82D61F3BB8EC}"/>
    <cellStyle name="Normal 5 5 3 5" xfId="2185" xr:uid="{00000000-0005-0000-0000-0000821B0000}"/>
    <cellStyle name="Normal 5 5 3 5 2" xfId="4414" xr:uid="{00000000-0005-0000-0000-0000831B0000}"/>
    <cellStyle name="Normal 5 5 3 5 2 2" xfId="8637" xr:uid="{00000000-0005-0000-0000-0000841B0000}"/>
    <cellStyle name="Normal 5 5 3 5 2 2 2" xfId="17076" xr:uid="{6B9CCA56-C83F-4476-8F3C-6E446EE905D3}"/>
    <cellStyle name="Normal 5 5 3 5 2 3" xfId="12858" xr:uid="{820CB7BE-B851-4978-A187-1BB0084ED2B2}"/>
    <cellStyle name="Normal 5 5 3 5 3" xfId="6492" xr:uid="{00000000-0005-0000-0000-0000851B0000}"/>
    <cellStyle name="Normal 5 5 3 5 3 2" xfId="14931" xr:uid="{75CC43C7-6B0B-4894-935E-FD11534327C6}"/>
    <cellStyle name="Normal 5 5 3 5 4" xfId="10713" xr:uid="{DBCA7BA7-7E6F-4526-B2A0-1142EE546198}"/>
    <cellStyle name="Normal 5 5 3 6" xfId="2621" xr:uid="{00000000-0005-0000-0000-0000861B0000}"/>
    <cellStyle name="Normal 5 5 3 6 2" xfId="6905" xr:uid="{00000000-0005-0000-0000-0000871B0000}"/>
    <cellStyle name="Normal 5 5 3 6 2 2" xfId="15344" xr:uid="{EFBCE5C3-C591-46B5-8386-D1347393AEA3}"/>
    <cellStyle name="Normal 5 5 3 6 3" xfId="11126" xr:uid="{74EC3F58-C946-4F30-ADDD-00FDF9352D46}"/>
    <cellStyle name="Normal 5 5 3 7" xfId="4840" xr:uid="{00000000-0005-0000-0000-0000881B0000}"/>
    <cellStyle name="Normal 5 5 3 7 2" xfId="13279" xr:uid="{8144FBAC-7994-451B-BB07-E3C0BD6D96F9}"/>
    <cellStyle name="Normal 5 5 3 8" xfId="9061" xr:uid="{407E5915-C12B-425E-B7CB-E10DA8BF5019}"/>
    <cellStyle name="Normal 5 5 4" xfId="938" xr:uid="{00000000-0005-0000-0000-0000891B0000}"/>
    <cellStyle name="Normal 5 5 4 2" xfId="3172" xr:uid="{00000000-0005-0000-0000-00008A1B0000}"/>
    <cellStyle name="Normal 5 5 4 2 2" xfId="7395" xr:uid="{00000000-0005-0000-0000-00008B1B0000}"/>
    <cellStyle name="Normal 5 5 4 2 2 2" xfId="15834" xr:uid="{94AC9CCA-9523-4EFC-9FAE-9EBCDDE61AE0}"/>
    <cellStyle name="Normal 5 5 4 2 3" xfId="11616" xr:uid="{E1AA48B5-9193-49E4-B135-F69A9FFB17B4}"/>
    <cellStyle name="Normal 5 5 4 3" xfId="5250" xr:uid="{00000000-0005-0000-0000-00008C1B0000}"/>
    <cellStyle name="Normal 5 5 4 3 2" xfId="13689" xr:uid="{D9AE8E84-9EEA-4398-82C9-2A8011AED971}"/>
    <cellStyle name="Normal 5 5 4 4" xfId="9471" xr:uid="{23AEC80F-DBDF-455A-91CE-F2AD9B999A8E}"/>
    <cellStyle name="Normal 5 5 5" xfId="1355" xr:uid="{00000000-0005-0000-0000-00008D1B0000}"/>
    <cellStyle name="Normal 5 5 5 2" xfId="3585" xr:uid="{00000000-0005-0000-0000-00008E1B0000}"/>
    <cellStyle name="Normal 5 5 5 2 2" xfId="7808" xr:uid="{00000000-0005-0000-0000-00008F1B0000}"/>
    <cellStyle name="Normal 5 5 5 2 2 2" xfId="16247" xr:uid="{654A5DFD-D8A3-44F6-A719-02CBB69A7C42}"/>
    <cellStyle name="Normal 5 5 5 2 3" xfId="12029" xr:uid="{2772F444-C5EF-40F2-89B9-49C85D2CB487}"/>
    <cellStyle name="Normal 5 5 5 3" xfId="5663" xr:uid="{00000000-0005-0000-0000-0000901B0000}"/>
    <cellStyle name="Normal 5 5 5 3 2" xfId="14102" xr:uid="{34CAEC3B-456A-4278-8C0E-FE68DBA03C7D}"/>
    <cellStyle name="Normal 5 5 5 4" xfId="9884" xr:uid="{CB2F5220-30CA-4F70-9927-E5602CF2A959}"/>
    <cellStyle name="Normal 5 5 6" xfId="1768" xr:uid="{00000000-0005-0000-0000-0000911B0000}"/>
    <cellStyle name="Normal 5 5 6 2" xfId="3998" xr:uid="{00000000-0005-0000-0000-0000921B0000}"/>
    <cellStyle name="Normal 5 5 6 2 2" xfId="8221" xr:uid="{00000000-0005-0000-0000-0000931B0000}"/>
    <cellStyle name="Normal 5 5 6 2 2 2" xfId="16660" xr:uid="{A50155A1-E6F0-4FC9-B034-8B1769CF83DE}"/>
    <cellStyle name="Normal 5 5 6 2 3" xfId="12442" xr:uid="{56CA08D6-49F0-43AE-AD25-DA96120CC6AD}"/>
    <cellStyle name="Normal 5 5 6 3" xfId="6076" xr:uid="{00000000-0005-0000-0000-0000941B0000}"/>
    <cellStyle name="Normal 5 5 6 3 2" xfId="14515" xr:uid="{294A10F2-014E-4C3D-A251-EEBA31844F2E}"/>
    <cellStyle name="Normal 5 5 6 4" xfId="10297" xr:uid="{58224A64-8077-4605-A098-60E4E37F0727}"/>
    <cellStyle name="Normal 5 5 7" xfId="2182" xr:uid="{00000000-0005-0000-0000-0000951B0000}"/>
    <cellStyle name="Normal 5 5 7 2" xfId="4411" xr:uid="{00000000-0005-0000-0000-0000961B0000}"/>
    <cellStyle name="Normal 5 5 7 2 2" xfId="8634" xr:uid="{00000000-0005-0000-0000-0000971B0000}"/>
    <cellStyle name="Normal 5 5 7 2 2 2" xfId="17073" xr:uid="{43BF0D4A-EB8F-4917-9462-DE61E1B15DB8}"/>
    <cellStyle name="Normal 5 5 7 2 3" xfId="12855" xr:uid="{5465BF9A-A9E7-4AE2-B24B-37BBE5E1F978}"/>
    <cellStyle name="Normal 5 5 7 3" xfId="6489" xr:uid="{00000000-0005-0000-0000-0000981B0000}"/>
    <cellStyle name="Normal 5 5 7 3 2" xfId="14928" xr:uid="{EB04BBF0-157C-49F7-99EB-A58765BEB724}"/>
    <cellStyle name="Normal 5 5 7 4" xfId="10710" xr:uid="{E2902D60-099E-4C1E-A2D0-D5B53EFD7A69}"/>
    <cellStyle name="Normal 5 5 8" xfId="2618" xr:uid="{00000000-0005-0000-0000-0000991B0000}"/>
    <cellStyle name="Normal 5 5 8 2" xfId="6902" xr:uid="{00000000-0005-0000-0000-00009A1B0000}"/>
    <cellStyle name="Normal 5 5 8 2 2" xfId="15341" xr:uid="{A4A7E970-43EE-45E7-A00F-EE7C45580DC0}"/>
    <cellStyle name="Normal 5 5 8 3" xfId="11123" xr:uid="{E2873001-F0BA-4CDF-BB80-E5B7BA0D34D8}"/>
    <cellStyle name="Normal 5 5 9" xfId="4837" xr:uid="{00000000-0005-0000-0000-00009B1B0000}"/>
    <cellStyle name="Normal 5 5 9 2" xfId="13276" xr:uid="{81D29F6F-528C-4FF7-815C-421C689857E3}"/>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15839" xr:uid="{6F9F98EF-A6EB-464F-BA9A-6A8A81E16915}"/>
    <cellStyle name="Normal 5 6 2 2 2 3" xfId="11621" xr:uid="{7D29E0DC-8284-45A4-92AC-B6DDBBAC17F9}"/>
    <cellStyle name="Normal 5 6 2 2 3" xfId="5255" xr:uid="{00000000-0005-0000-0000-0000A11B0000}"/>
    <cellStyle name="Normal 5 6 2 2 3 2" xfId="13694" xr:uid="{367BC1AD-236D-4711-8A5D-B759FE26F395}"/>
    <cellStyle name="Normal 5 6 2 2 4" xfId="9476" xr:uid="{660276E4-99F9-4B7C-9EBD-89FE6E1363E2}"/>
    <cellStyle name="Normal 5 6 2 3" xfId="1360" xr:uid="{00000000-0005-0000-0000-0000A21B0000}"/>
    <cellStyle name="Normal 5 6 2 3 2" xfId="3590" xr:uid="{00000000-0005-0000-0000-0000A31B0000}"/>
    <cellStyle name="Normal 5 6 2 3 2 2" xfId="7813" xr:uid="{00000000-0005-0000-0000-0000A41B0000}"/>
    <cellStyle name="Normal 5 6 2 3 2 2 2" xfId="16252" xr:uid="{BFC84B65-9CAC-4F0B-A5FE-1C2B62FC8D1F}"/>
    <cellStyle name="Normal 5 6 2 3 2 3" xfId="12034" xr:uid="{77C54A95-3151-4EF3-A3CC-0B16CCD8C02E}"/>
    <cellStyle name="Normal 5 6 2 3 3" xfId="5668" xr:uid="{00000000-0005-0000-0000-0000A51B0000}"/>
    <cellStyle name="Normal 5 6 2 3 3 2" xfId="14107" xr:uid="{2AED50A5-177C-422B-938B-DAFE3527D596}"/>
    <cellStyle name="Normal 5 6 2 3 4" xfId="9889" xr:uid="{C8BCB2F5-FAB7-4ED7-93B9-6B9826ABB35D}"/>
    <cellStyle name="Normal 5 6 2 4" xfId="1773" xr:uid="{00000000-0005-0000-0000-0000A61B0000}"/>
    <cellStyle name="Normal 5 6 2 4 2" xfId="4003" xr:uid="{00000000-0005-0000-0000-0000A71B0000}"/>
    <cellStyle name="Normal 5 6 2 4 2 2" xfId="8226" xr:uid="{00000000-0005-0000-0000-0000A81B0000}"/>
    <cellStyle name="Normal 5 6 2 4 2 2 2" xfId="16665" xr:uid="{00A0154E-43FF-4FB9-8B38-5C2BE82588FC}"/>
    <cellStyle name="Normal 5 6 2 4 2 3" xfId="12447" xr:uid="{FB2BFEC5-94B1-4174-8606-DC3E4331AA3E}"/>
    <cellStyle name="Normal 5 6 2 4 3" xfId="6081" xr:uid="{00000000-0005-0000-0000-0000A91B0000}"/>
    <cellStyle name="Normal 5 6 2 4 3 2" xfId="14520" xr:uid="{E0FB0DA2-0890-4950-A9A9-D704267FF3EA}"/>
    <cellStyle name="Normal 5 6 2 4 4" xfId="10302" xr:uid="{E98106EA-B86B-40F9-AF8D-0734C42F9432}"/>
    <cellStyle name="Normal 5 6 2 5" xfId="2187" xr:uid="{00000000-0005-0000-0000-0000AA1B0000}"/>
    <cellStyle name="Normal 5 6 2 5 2" xfId="4416" xr:uid="{00000000-0005-0000-0000-0000AB1B0000}"/>
    <cellStyle name="Normal 5 6 2 5 2 2" xfId="8639" xr:uid="{00000000-0005-0000-0000-0000AC1B0000}"/>
    <cellStyle name="Normal 5 6 2 5 2 2 2" xfId="17078" xr:uid="{D14AB1F2-E42D-47BD-A824-B943911BAEA5}"/>
    <cellStyle name="Normal 5 6 2 5 2 3" xfId="12860" xr:uid="{307130C4-AAF8-4E95-AA30-64A7B14DB134}"/>
    <cellStyle name="Normal 5 6 2 5 3" xfId="6494" xr:uid="{00000000-0005-0000-0000-0000AD1B0000}"/>
    <cellStyle name="Normal 5 6 2 5 3 2" xfId="14933" xr:uid="{3D2AB22E-A55C-42A1-ADDA-0DBB46DAA773}"/>
    <cellStyle name="Normal 5 6 2 5 4" xfId="10715" xr:uid="{3DF40BE3-67ED-455A-AA45-0D454C1B6B57}"/>
    <cellStyle name="Normal 5 6 2 6" xfId="2623" xr:uid="{00000000-0005-0000-0000-0000AE1B0000}"/>
    <cellStyle name="Normal 5 6 2 6 2" xfId="6907" xr:uid="{00000000-0005-0000-0000-0000AF1B0000}"/>
    <cellStyle name="Normal 5 6 2 6 2 2" xfId="15346" xr:uid="{9570AF95-3C86-445C-BECA-AEF3533564FE}"/>
    <cellStyle name="Normal 5 6 2 6 3" xfId="11128" xr:uid="{345C5B46-780C-4332-92E8-A438D3C1805A}"/>
    <cellStyle name="Normal 5 6 2 7" xfId="4842" xr:uid="{00000000-0005-0000-0000-0000B01B0000}"/>
    <cellStyle name="Normal 5 6 2 7 2" xfId="13281" xr:uid="{98FAC744-D7C4-4954-A16E-FE3D3D5D43D2}"/>
    <cellStyle name="Normal 5 6 2 8" xfId="9063" xr:uid="{623F5FC8-4722-4D93-8B7B-C9802B75B3CE}"/>
    <cellStyle name="Normal 5 6 3" xfId="942" xr:uid="{00000000-0005-0000-0000-0000B11B0000}"/>
    <cellStyle name="Normal 5 6 3 2" xfId="3176" xr:uid="{00000000-0005-0000-0000-0000B21B0000}"/>
    <cellStyle name="Normal 5 6 3 2 2" xfId="7399" xr:uid="{00000000-0005-0000-0000-0000B31B0000}"/>
    <cellStyle name="Normal 5 6 3 2 2 2" xfId="15838" xr:uid="{68D7EE53-2D18-4D57-801D-5948218FB2B3}"/>
    <cellStyle name="Normal 5 6 3 2 3" xfId="11620" xr:uid="{7A522863-87AE-4D14-8D81-9498CDBD1B98}"/>
    <cellStyle name="Normal 5 6 3 3" xfId="5254" xr:uid="{00000000-0005-0000-0000-0000B41B0000}"/>
    <cellStyle name="Normal 5 6 3 3 2" xfId="13693" xr:uid="{8F921075-0A35-40AD-9152-7DECFCFE86AA}"/>
    <cellStyle name="Normal 5 6 3 4" xfId="9475" xr:uid="{1DD88BEA-DB48-4940-88E7-BA58F4D20682}"/>
    <cellStyle name="Normal 5 6 4" xfId="1359" xr:uid="{00000000-0005-0000-0000-0000B51B0000}"/>
    <cellStyle name="Normal 5 6 4 2" xfId="3589" xr:uid="{00000000-0005-0000-0000-0000B61B0000}"/>
    <cellStyle name="Normal 5 6 4 2 2" xfId="7812" xr:uid="{00000000-0005-0000-0000-0000B71B0000}"/>
    <cellStyle name="Normal 5 6 4 2 2 2" xfId="16251" xr:uid="{6072A61D-BE35-466F-887A-94E6FC734D85}"/>
    <cellStyle name="Normal 5 6 4 2 3" xfId="12033" xr:uid="{052B9E0D-A4B8-44CB-AB8F-B6416E73EDD1}"/>
    <cellStyle name="Normal 5 6 4 3" xfId="5667" xr:uid="{00000000-0005-0000-0000-0000B81B0000}"/>
    <cellStyle name="Normal 5 6 4 3 2" xfId="14106" xr:uid="{8C685E43-930B-407B-B272-5226010ED5EE}"/>
    <cellStyle name="Normal 5 6 4 4" xfId="9888" xr:uid="{5DAD1DE0-3E75-431C-B169-4DB0805A7DEF}"/>
    <cellStyle name="Normal 5 6 5" xfId="1772" xr:uid="{00000000-0005-0000-0000-0000B91B0000}"/>
    <cellStyle name="Normal 5 6 5 2" xfId="4002" xr:uid="{00000000-0005-0000-0000-0000BA1B0000}"/>
    <cellStyle name="Normal 5 6 5 2 2" xfId="8225" xr:uid="{00000000-0005-0000-0000-0000BB1B0000}"/>
    <cellStyle name="Normal 5 6 5 2 2 2" xfId="16664" xr:uid="{D7C83617-BC0C-409D-AE6F-CC06654BD26D}"/>
    <cellStyle name="Normal 5 6 5 2 3" xfId="12446" xr:uid="{3F99E208-F7CB-4738-B37C-F6DF6FE7C768}"/>
    <cellStyle name="Normal 5 6 5 3" xfId="6080" xr:uid="{00000000-0005-0000-0000-0000BC1B0000}"/>
    <cellStyle name="Normal 5 6 5 3 2" xfId="14519" xr:uid="{130E6908-D86C-470D-B7B5-578E7DAC9D6B}"/>
    <cellStyle name="Normal 5 6 5 4" xfId="10301" xr:uid="{2B804D7A-78CC-40F7-8320-B1207FB32995}"/>
    <cellStyle name="Normal 5 6 6" xfId="2186" xr:uid="{00000000-0005-0000-0000-0000BD1B0000}"/>
    <cellStyle name="Normal 5 6 6 2" xfId="4415" xr:uid="{00000000-0005-0000-0000-0000BE1B0000}"/>
    <cellStyle name="Normal 5 6 6 2 2" xfId="8638" xr:uid="{00000000-0005-0000-0000-0000BF1B0000}"/>
    <cellStyle name="Normal 5 6 6 2 2 2" xfId="17077" xr:uid="{A34E1B69-3F72-424C-B8FF-DD51A9050FBC}"/>
    <cellStyle name="Normal 5 6 6 2 3" xfId="12859" xr:uid="{746024AD-6F06-4BB1-9159-91ED0B93D2A5}"/>
    <cellStyle name="Normal 5 6 6 3" xfId="6493" xr:uid="{00000000-0005-0000-0000-0000C01B0000}"/>
    <cellStyle name="Normal 5 6 6 3 2" xfId="14932" xr:uid="{70DD4CE6-AB9A-4579-BCF4-99EB46AD705B}"/>
    <cellStyle name="Normal 5 6 6 4" xfId="10714" xr:uid="{DC61884D-727F-4373-9B93-8BDDBF7A3DBE}"/>
    <cellStyle name="Normal 5 6 7" xfId="2622" xr:uid="{00000000-0005-0000-0000-0000C11B0000}"/>
    <cellStyle name="Normal 5 6 7 2" xfId="6906" xr:uid="{00000000-0005-0000-0000-0000C21B0000}"/>
    <cellStyle name="Normal 5 6 7 2 2" xfId="15345" xr:uid="{5D4D7BC5-FE94-4FE8-AECA-9A53E767451F}"/>
    <cellStyle name="Normal 5 6 7 3" xfId="11127" xr:uid="{682BC84E-79A4-4DC0-9ADC-84CA7EE7C639}"/>
    <cellStyle name="Normal 5 6 8" xfId="4841" xr:uid="{00000000-0005-0000-0000-0000C31B0000}"/>
    <cellStyle name="Normal 5 6 8 2" xfId="13280" xr:uid="{BD77E164-8584-4A22-8A6B-D50D05D2757C}"/>
    <cellStyle name="Normal 5 6 9" xfId="9062" xr:uid="{3B0B473E-DC93-48C1-AECA-1432B820C087}"/>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15840" xr:uid="{B1FEB8B5-F69B-438E-BD68-2608BBF02985}"/>
    <cellStyle name="Normal 5 7 2 2 3" xfId="11622" xr:uid="{9E20D5C4-40AE-445E-A943-3ECA903118FD}"/>
    <cellStyle name="Normal 5 7 2 3" xfId="5256" xr:uid="{00000000-0005-0000-0000-0000C81B0000}"/>
    <cellStyle name="Normal 5 7 2 3 2" xfId="13695" xr:uid="{20547DF8-F057-46A6-8159-A59FCCF8315F}"/>
    <cellStyle name="Normal 5 7 2 4" xfId="9477" xr:uid="{213A273A-4D29-469D-A40F-F45DC547A112}"/>
    <cellStyle name="Normal 5 7 3" xfId="1361" xr:uid="{00000000-0005-0000-0000-0000C91B0000}"/>
    <cellStyle name="Normal 5 7 3 2" xfId="3591" xr:uid="{00000000-0005-0000-0000-0000CA1B0000}"/>
    <cellStyle name="Normal 5 7 3 2 2" xfId="7814" xr:uid="{00000000-0005-0000-0000-0000CB1B0000}"/>
    <cellStyle name="Normal 5 7 3 2 2 2" xfId="16253" xr:uid="{9E9D7BD1-32CE-4BF6-9F3E-3EDAE144E2DC}"/>
    <cellStyle name="Normal 5 7 3 2 3" xfId="12035" xr:uid="{BADB107E-DCFD-4F05-AF6C-4F616F777E84}"/>
    <cellStyle name="Normal 5 7 3 3" xfId="5669" xr:uid="{00000000-0005-0000-0000-0000CC1B0000}"/>
    <cellStyle name="Normal 5 7 3 3 2" xfId="14108" xr:uid="{64E10A5F-276C-4356-885C-032A136B0F4C}"/>
    <cellStyle name="Normal 5 7 3 4" xfId="9890" xr:uid="{6F120940-35FD-452E-A1F3-91428E886B8E}"/>
    <cellStyle name="Normal 5 7 4" xfId="1774" xr:uid="{00000000-0005-0000-0000-0000CD1B0000}"/>
    <cellStyle name="Normal 5 7 4 2" xfId="4004" xr:uid="{00000000-0005-0000-0000-0000CE1B0000}"/>
    <cellStyle name="Normal 5 7 4 2 2" xfId="8227" xr:uid="{00000000-0005-0000-0000-0000CF1B0000}"/>
    <cellStyle name="Normal 5 7 4 2 2 2" xfId="16666" xr:uid="{7EC30B3C-45E6-4250-B0AD-BC63B39E289C}"/>
    <cellStyle name="Normal 5 7 4 2 3" xfId="12448" xr:uid="{4135772C-6969-4557-BCE0-235F6CBE8804}"/>
    <cellStyle name="Normal 5 7 4 3" xfId="6082" xr:uid="{00000000-0005-0000-0000-0000D01B0000}"/>
    <cellStyle name="Normal 5 7 4 3 2" xfId="14521" xr:uid="{D53F019B-6D21-4FE8-92A9-490F14920533}"/>
    <cellStyle name="Normal 5 7 4 4" xfId="10303" xr:uid="{10B95347-62E2-4039-9284-3D5A86E673D4}"/>
    <cellStyle name="Normal 5 7 5" xfId="2188" xr:uid="{00000000-0005-0000-0000-0000D11B0000}"/>
    <cellStyle name="Normal 5 7 5 2" xfId="4417" xr:uid="{00000000-0005-0000-0000-0000D21B0000}"/>
    <cellStyle name="Normal 5 7 5 2 2" xfId="8640" xr:uid="{00000000-0005-0000-0000-0000D31B0000}"/>
    <cellStyle name="Normal 5 7 5 2 2 2" xfId="17079" xr:uid="{601744E9-A22A-4940-B66E-96D7071F6C41}"/>
    <cellStyle name="Normal 5 7 5 2 3" xfId="12861" xr:uid="{8E98CB88-555F-4B04-95DF-43165FF0C02A}"/>
    <cellStyle name="Normal 5 7 5 3" xfId="6495" xr:uid="{00000000-0005-0000-0000-0000D41B0000}"/>
    <cellStyle name="Normal 5 7 5 3 2" xfId="14934" xr:uid="{0CCBC8F0-5A11-485F-9622-BEB20D967BD2}"/>
    <cellStyle name="Normal 5 7 5 4" xfId="10716" xr:uid="{1A1B341A-DA29-401D-A0C1-FC0C4788C692}"/>
    <cellStyle name="Normal 5 7 6" xfId="2624" xr:uid="{00000000-0005-0000-0000-0000D51B0000}"/>
    <cellStyle name="Normal 5 7 6 2" xfId="6908" xr:uid="{00000000-0005-0000-0000-0000D61B0000}"/>
    <cellStyle name="Normal 5 7 6 2 2" xfId="15347" xr:uid="{DD9DE6EB-2340-42EA-97E7-81CA2088912A}"/>
    <cellStyle name="Normal 5 7 6 3" xfId="11129" xr:uid="{4E7C6F34-C22E-4D70-A0AD-17EC5AE862FD}"/>
    <cellStyle name="Normal 5 7 7" xfId="4843" xr:uid="{00000000-0005-0000-0000-0000D71B0000}"/>
    <cellStyle name="Normal 5 7 7 2" xfId="13282" xr:uid="{E7B9097A-639E-4033-AADB-EB17F2BA224E}"/>
    <cellStyle name="Normal 5 7 8" xfId="9064" xr:uid="{81AD4C44-0A56-49FC-BA59-ED31D1B00749}"/>
    <cellStyle name="Normal 5 8" xfId="880" xr:uid="{00000000-0005-0000-0000-0000D81B0000}"/>
    <cellStyle name="Normal 5 8 2" xfId="3115" xr:uid="{00000000-0005-0000-0000-0000D91B0000}"/>
    <cellStyle name="Normal 5 8 2 2" xfId="7338" xr:uid="{00000000-0005-0000-0000-0000DA1B0000}"/>
    <cellStyle name="Normal 5 8 2 2 2" xfId="15777" xr:uid="{52C5B9BA-8820-48B6-882E-C592740482C3}"/>
    <cellStyle name="Normal 5 8 2 3" xfId="11559" xr:uid="{1FC84053-B521-4AE9-986A-0E3801EC2E5E}"/>
    <cellStyle name="Normal 5 8 3" xfId="5193" xr:uid="{00000000-0005-0000-0000-0000DB1B0000}"/>
    <cellStyle name="Normal 5 8 3 2" xfId="13632" xr:uid="{BE12314C-C242-4ACF-B719-607B3F5503B7}"/>
    <cellStyle name="Normal 5 8 4" xfId="9414" xr:uid="{A1A1698B-44CE-4A90-88E8-099E9D32298F}"/>
    <cellStyle name="Normal 5 9" xfId="1298" xr:uid="{00000000-0005-0000-0000-0000DC1B0000}"/>
    <cellStyle name="Normal 5 9 2" xfId="3528" xr:uid="{00000000-0005-0000-0000-0000DD1B0000}"/>
    <cellStyle name="Normal 5 9 2 2" xfId="7751" xr:uid="{00000000-0005-0000-0000-0000DE1B0000}"/>
    <cellStyle name="Normal 5 9 2 2 2" xfId="16190" xr:uid="{BAE2F970-579E-45DB-9A05-DEA6119FB913}"/>
    <cellStyle name="Normal 5 9 2 3" xfId="11972" xr:uid="{3DA1F29E-0D44-4CD5-BA08-004178FD132B}"/>
    <cellStyle name="Normal 5 9 3" xfId="5606" xr:uid="{00000000-0005-0000-0000-0000DF1B0000}"/>
    <cellStyle name="Normal 5 9 3 2" xfId="14045" xr:uid="{D86D5C6C-D30A-40E8-942F-06BAE364ACDA}"/>
    <cellStyle name="Normal 5 9 4" xfId="9827" xr:uid="{A3B26368-F9F7-4F4A-AEA3-E5CE0CABE503}"/>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17080" xr:uid="{6B84BCF6-E517-4A7E-9E56-C4AD498721AA}"/>
    <cellStyle name="Normal 8 10 2 3" xfId="12862" xr:uid="{D75356CC-DC18-4CBF-89F9-D4DC2536C14F}"/>
    <cellStyle name="Normal 8 10 3" xfId="6496" xr:uid="{00000000-0005-0000-0000-0000EB1B0000}"/>
    <cellStyle name="Normal 8 10 3 2" xfId="14935" xr:uid="{A1A35B7B-50CE-4787-8CF8-3D4E01E507E1}"/>
    <cellStyle name="Normal 8 10 4" xfId="10717" xr:uid="{71DC68C1-B54C-48DD-8503-4653964FB815}"/>
    <cellStyle name="Normal 8 11" xfId="2625" xr:uid="{00000000-0005-0000-0000-0000EC1B0000}"/>
    <cellStyle name="Normal 8 11 2" xfId="6909" xr:uid="{00000000-0005-0000-0000-0000ED1B0000}"/>
    <cellStyle name="Normal 8 11 2 2" xfId="15348" xr:uid="{363E2B95-2781-47FE-8CE5-E4818A3E6365}"/>
    <cellStyle name="Normal 8 11 3" xfId="11130" xr:uid="{74D22E73-E3A1-4C80-84F4-397E0906C80D}"/>
    <cellStyle name="Normal 8 12" xfId="4844" xr:uid="{00000000-0005-0000-0000-0000EE1B0000}"/>
    <cellStyle name="Normal 8 12 2" xfId="13283" xr:uid="{4AA13E25-AE38-4DC6-90A4-881940CCBBB3}"/>
    <cellStyle name="Normal 8 13" xfId="9065" xr:uid="{6225B3F8-FC44-49B2-A0A5-448DA074D3C7}"/>
    <cellStyle name="Normal 8 2" xfId="479" xr:uid="{00000000-0005-0000-0000-0000EF1B0000}"/>
    <cellStyle name="Normal 8 2 10" xfId="2626" xr:uid="{00000000-0005-0000-0000-0000F01B0000}"/>
    <cellStyle name="Normal 8 2 10 2" xfId="6910" xr:uid="{00000000-0005-0000-0000-0000F11B0000}"/>
    <cellStyle name="Normal 8 2 10 2 2" xfId="15349" xr:uid="{926142CB-E753-433F-B5C6-6CDE48509AB9}"/>
    <cellStyle name="Normal 8 2 10 3" xfId="11131" xr:uid="{0D1ED1EE-2BEB-48B7-BF3B-5D92FF7CE67B}"/>
    <cellStyle name="Normal 8 2 11" xfId="4845" xr:uid="{00000000-0005-0000-0000-0000F21B0000}"/>
    <cellStyle name="Normal 8 2 11 2" xfId="13284" xr:uid="{0011A79A-9393-4293-961F-0C49B239D911}"/>
    <cellStyle name="Normal 8 2 12" xfId="9066" xr:uid="{0A3E659E-D611-421B-944E-D6C7DABBC78A}"/>
    <cellStyle name="Normal 8 2 2" xfId="480" xr:uid="{00000000-0005-0000-0000-0000F31B0000}"/>
    <cellStyle name="Normal 8 2 2 10" xfId="4846" xr:uid="{00000000-0005-0000-0000-0000F41B0000}"/>
    <cellStyle name="Normal 8 2 2 10 2" xfId="13285" xr:uid="{8BEEB46F-0497-4199-BB56-642A6498A40D}"/>
    <cellStyle name="Normal 8 2 2 11" xfId="9067" xr:uid="{A16264F4-A5FE-4098-B810-1083A471205B}"/>
    <cellStyle name="Normal 8 2 2 2" xfId="481" xr:uid="{00000000-0005-0000-0000-0000F51B0000}"/>
    <cellStyle name="Normal 8 2 2 2 10" xfId="9068" xr:uid="{22B65340-236F-46E7-A116-DEA5A940D97F}"/>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5846" xr:uid="{B29DAA19-554D-4237-A3EF-59B5030A0578}"/>
    <cellStyle name="Normal 8 2 2 2 2 2 2 2 3" xfId="11628" xr:uid="{2092295B-7AB2-4551-AF04-E731703DB409}"/>
    <cellStyle name="Normal 8 2 2 2 2 2 2 3" xfId="5262" xr:uid="{00000000-0005-0000-0000-0000FB1B0000}"/>
    <cellStyle name="Normal 8 2 2 2 2 2 2 3 2" xfId="13701" xr:uid="{7548B75C-D5CB-4F35-8447-7B73E9B68F28}"/>
    <cellStyle name="Normal 8 2 2 2 2 2 2 4" xfId="9483" xr:uid="{68B2B6C1-056D-49CD-BA92-27F4437DE37D}"/>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16259" xr:uid="{780CE376-C350-4CFB-9C0D-AB3D7BD6F8D3}"/>
    <cellStyle name="Normal 8 2 2 2 2 2 3 2 3" xfId="12041" xr:uid="{FC27BCED-46E6-4783-AD04-F59F818E6871}"/>
    <cellStyle name="Normal 8 2 2 2 2 2 3 3" xfId="5675" xr:uid="{00000000-0005-0000-0000-0000FF1B0000}"/>
    <cellStyle name="Normal 8 2 2 2 2 2 3 3 2" xfId="14114" xr:uid="{34D215E4-1FBD-4DE0-BDBB-0846DCCD16D6}"/>
    <cellStyle name="Normal 8 2 2 2 2 2 3 4" xfId="9896" xr:uid="{0C06670C-2BDD-43C3-8CAB-038FA1D0415F}"/>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16672" xr:uid="{EF05AA5E-7A13-42B3-96F9-10EAB20838BF}"/>
    <cellStyle name="Normal 8 2 2 2 2 2 4 2 3" xfId="12454" xr:uid="{A40CF517-527E-422A-BDBB-082D24F6F9CB}"/>
    <cellStyle name="Normal 8 2 2 2 2 2 4 3" xfId="6088" xr:uid="{00000000-0005-0000-0000-0000031C0000}"/>
    <cellStyle name="Normal 8 2 2 2 2 2 4 3 2" xfId="14527" xr:uid="{96674EC8-3905-4EE2-8BE4-C06D488FD5CE}"/>
    <cellStyle name="Normal 8 2 2 2 2 2 4 4" xfId="10309" xr:uid="{11DDB75D-EF1B-46CA-9A03-B77845266495}"/>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17085" xr:uid="{FC811866-6AAA-4885-9589-551241496383}"/>
    <cellStyle name="Normal 8 2 2 2 2 2 5 2 3" xfId="12867" xr:uid="{B1647E1F-79F6-4E1B-8845-D368B4D49B76}"/>
    <cellStyle name="Normal 8 2 2 2 2 2 5 3" xfId="6501" xr:uid="{00000000-0005-0000-0000-0000071C0000}"/>
    <cellStyle name="Normal 8 2 2 2 2 2 5 3 2" xfId="14940" xr:uid="{9E894741-DE42-47C2-9F61-0CFB1313B048}"/>
    <cellStyle name="Normal 8 2 2 2 2 2 5 4" xfId="10722" xr:uid="{20965D14-518B-4571-B309-56AF7D3F4A15}"/>
    <cellStyle name="Normal 8 2 2 2 2 2 6" xfId="2630" xr:uid="{00000000-0005-0000-0000-0000081C0000}"/>
    <cellStyle name="Normal 8 2 2 2 2 2 6 2" xfId="6914" xr:uid="{00000000-0005-0000-0000-0000091C0000}"/>
    <cellStyle name="Normal 8 2 2 2 2 2 6 2 2" xfId="15353" xr:uid="{442F4986-33BF-41A9-99DF-1958BB6725B6}"/>
    <cellStyle name="Normal 8 2 2 2 2 2 6 3" xfId="11135" xr:uid="{5C7EF62C-B2B3-4435-A24D-0A24AB070CAD}"/>
    <cellStyle name="Normal 8 2 2 2 2 2 7" xfId="4849" xr:uid="{00000000-0005-0000-0000-00000A1C0000}"/>
    <cellStyle name="Normal 8 2 2 2 2 2 7 2" xfId="13288" xr:uid="{EA278F9D-2B1D-44AF-BD9E-C1C60CCDE50B}"/>
    <cellStyle name="Normal 8 2 2 2 2 2 8" xfId="9070" xr:uid="{9A77FB16-3958-4C97-8844-6C85A8DD4288}"/>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5845" xr:uid="{C7F157C7-8E70-47A8-8E3F-73F6A9EADB6F}"/>
    <cellStyle name="Normal 8 2 2 2 2 3 2 3" xfId="11627" xr:uid="{C5A583EA-3783-4F10-B450-10A947EAADE7}"/>
    <cellStyle name="Normal 8 2 2 2 2 3 3" xfId="5261" xr:uid="{00000000-0005-0000-0000-00000E1C0000}"/>
    <cellStyle name="Normal 8 2 2 2 2 3 3 2" xfId="13700" xr:uid="{6A1862A4-EEB0-49D3-985C-D304ABF029B3}"/>
    <cellStyle name="Normal 8 2 2 2 2 3 4" xfId="9482" xr:uid="{E3BFD43C-168F-4B0D-93BC-C54F5D576FFC}"/>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16258" xr:uid="{39C3C6D1-F6E4-46AE-A2AD-C0CEAB5A1D1E}"/>
    <cellStyle name="Normal 8 2 2 2 2 4 2 3" xfId="12040" xr:uid="{394518F5-2029-45AA-8F8A-81E388C61F4D}"/>
    <cellStyle name="Normal 8 2 2 2 2 4 3" xfId="5674" xr:uid="{00000000-0005-0000-0000-0000121C0000}"/>
    <cellStyle name="Normal 8 2 2 2 2 4 3 2" xfId="14113" xr:uid="{F8F6AE24-8BB4-4E76-8660-7078FA75FE51}"/>
    <cellStyle name="Normal 8 2 2 2 2 4 4" xfId="9895" xr:uid="{E88C61AD-9EEF-4B6F-99A1-9A943AA82BD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16671" xr:uid="{B19C5966-10DB-4506-A9F8-09ACB1880464}"/>
    <cellStyle name="Normal 8 2 2 2 2 5 2 3" xfId="12453" xr:uid="{59D324D6-8A68-4C6C-AE76-8E8E17FC9B86}"/>
    <cellStyle name="Normal 8 2 2 2 2 5 3" xfId="6087" xr:uid="{00000000-0005-0000-0000-0000161C0000}"/>
    <cellStyle name="Normal 8 2 2 2 2 5 3 2" xfId="14526" xr:uid="{7567387B-BAD6-416B-99A4-18A0D5649606}"/>
    <cellStyle name="Normal 8 2 2 2 2 5 4" xfId="10308" xr:uid="{AC673902-900D-4D70-92CC-46EB494D9AC2}"/>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17084" xr:uid="{9A8A4079-90C4-4C26-AA0D-BA7D092E1712}"/>
    <cellStyle name="Normal 8 2 2 2 2 6 2 3" xfId="12866" xr:uid="{9EE8EF62-6A7A-48A8-B65B-8828EC55EA4D}"/>
    <cellStyle name="Normal 8 2 2 2 2 6 3" xfId="6500" xr:uid="{00000000-0005-0000-0000-00001A1C0000}"/>
    <cellStyle name="Normal 8 2 2 2 2 6 3 2" xfId="14939" xr:uid="{61E462FF-B8A8-4B1C-AB6F-10E9C79030A7}"/>
    <cellStyle name="Normal 8 2 2 2 2 6 4" xfId="10721" xr:uid="{3F3E67CC-B882-46F5-9950-ABEDB3251176}"/>
    <cellStyle name="Normal 8 2 2 2 2 7" xfId="2629" xr:uid="{00000000-0005-0000-0000-00001B1C0000}"/>
    <cellStyle name="Normal 8 2 2 2 2 7 2" xfId="6913" xr:uid="{00000000-0005-0000-0000-00001C1C0000}"/>
    <cellStyle name="Normal 8 2 2 2 2 7 2 2" xfId="15352" xr:uid="{D44C16A6-0020-46F4-B382-02660BC703A6}"/>
    <cellStyle name="Normal 8 2 2 2 2 7 3" xfId="11134" xr:uid="{EFD62A44-806B-4CDF-8992-9A6A80E8CE1D}"/>
    <cellStyle name="Normal 8 2 2 2 2 8" xfId="4848" xr:uid="{00000000-0005-0000-0000-00001D1C0000}"/>
    <cellStyle name="Normal 8 2 2 2 2 8 2" xfId="13287" xr:uid="{E24C972F-659B-41CB-975C-24110FD575AE}"/>
    <cellStyle name="Normal 8 2 2 2 2 9" xfId="9069" xr:uid="{8587B5E5-2640-49C1-AC98-6EB3E8ACEE7D}"/>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5847" xr:uid="{C089153E-F4B6-413D-A416-276DA392D4FA}"/>
    <cellStyle name="Normal 8 2 2 2 3 2 2 3" xfId="11629" xr:uid="{02153760-5D6F-45BC-9E51-5F383502891B}"/>
    <cellStyle name="Normal 8 2 2 2 3 2 3" xfId="5263" xr:uid="{00000000-0005-0000-0000-0000221C0000}"/>
    <cellStyle name="Normal 8 2 2 2 3 2 3 2" xfId="13702" xr:uid="{E8410507-5842-443A-AC81-9BF9B35829A3}"/>
    <cellStyle name="Normal 8 2 2 2 3 2 4" xfId="9484" xr:uid="{0262C8F9-FF28-4D2B-8974-94028A2A12AF}"/>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16260" xr:uid="{5ED0132B-4491-4DD1-AB5C-A6159895A039}"/>
    <cellStyle name="Normal 8 2 2 2 3 3 2 3" xfId="12042" xr:uid="{05E857A7-E131-4F7F-A38D-478191E2FC29}"/>
    <cellStyle name="Normal 8 2 2 2 3 3 3" xfId="5676" xr:uid="{00000000-0005-0000-0000-0000261C0000}"/>
    <cellStyle name="Normal 8 2 2 2 3 3 3 2" xfId="14115" xr:uid="{B2ED633C-AFE9-4614-AA84-74E090798B41}"/>
    <cellStyle name="Normal 8 2 2 2 3 3 4" xfId="9897" xr:uid="{7C749F02-1AAE-49D3-AF7F-A846A0BB544A}"/>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16673" xr:uid="{E139C1CE-5048-4B1F-B48D-CE2867CF5106}"/>
    <cellStyle name="Normal 8 2 2 2 3 4 2 3" xfId="12455" xr:uid="{20282AB8-6CF6-4B73-88CB-722D50D5F620}"/>
    <cellStyle name="Normal 8 2 2 2 3 4 3" xfId="6089" xr:uid="{00000000-0005-0000-0000-00002A1C0000}"/>
    <cellStyle name="Normal 8 2 2 2 3 4 3 2" xfId="14528" xr:uid="{8C2D3AE6-4FA2-433E-B2E0-E378D0B8CC2B}"/>
    <cellStyle name="Normal 8 2 2 2 3 4 4" xfId="10310" xr:uid="{9ADAC88D-7383-44B8-9704-8EAC7AE9F756}"/>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17086" xr:uid="{7AD226E9-D7D9-49E4-9FFE-9FFA780B27F9}"/>
    <cellStyle name="Normal 8 2 2 2 3 5 2 3" xfId="12868" xr:uid="{5F568DB0-489D-43ED-9B7D-88CCBF828618}"/>
    <cellStyle name="Normal 8 2 2 2 3 5 3" xfId="6502" xr:uid="{00000000-0005-0000-0000-00002E1C0000}"/>
    <cellStyle name="Normal 8 2 2 2 3 5 3 2" xfId="14941" xr:uid="{166DD8C2-5215-45A5-9721-36119D8AA21F}"/>
    <cellStyle name="Normal 8 2 2 2 3 5 4" xfId="10723" xr:uid="{0718339D-5151-42FA-A5F5-62529D593D15}"/>
    <cellStyle name="Normal 8 2 2 2 3 6" xfId="2631" xr:uid="{00000000-0005-0000-0000-00002F1C0000}"/>
    <cellStyle name="Normal 8 2 2 2 3 6 2" xfId="6915" xr:uid="{00000000-0005-0000-0000-0000301C0000}"/>
    <cellStyle name="Normal 8 2 2 2 3 6 2 2" xfId="15354" xr:uid="{03FAEF57-20B3-40FE-9647-4B45537FB762}"/>
    <cellStyle name="Normal 8 2 2 2 3 6 3" xfId="11136" xr:uid="{FECB2547-6B21-44A1-8D84-1A3D19AB5074}"/>
    <cellStyle name="Normal 8 2 2 2 3 7" xfId="4850" xr:uid="{00000000-0005-0000-0000-0000311C0000}"/>
    <cellStyle name="Normal 8 2 2 2 3 7 2" xfId="13289" xr:uid="{417D9EC9-58DB-49DF-AE14-640ECD6FE7DA}"/>
    <cellStyle name="Normal 8 2 2 2 3 8" xfId="9071" xr:uid="{15220CEF-7A60-4DB2-B361-D187F50701BA}"/>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5844" xr:uid="{F66A4F2E-A5F9-4200-A928-11ADA7ACE956}"/>
    <cellStyle name="Normal 8 2 2 2 4 2 3" xfId="11626" xr:uid="{78C00E86-52A8-4AC7-A1C4-CFB2FB258F6A}"/>
    <cellStyle name="Normal 8 2 2 2 4 3" xfId="5260" xr:uid="{00000000-0005-0000-0000-0000351C0000}"/>
    <cellStyle name="Normal 8 2 2 2 4 3 2" xfId="13699" xr:uid="{7F6CB27C-C347-4463-A055-0E54D6EEDDF7}"/>
    <cellStyle name="Normal 8 2 2 2 4 4" xfId="9481" xr:uid="{9E8B3244-E703-413D-8F19-01F1053A5282}"/>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16257" xr:uid="{6EB5E864-1081-42E0-B873-743FA3410123}"/>
    <cellStyle name="Normal 8 2 2 2 5 2 3" xfId="12039" xr:uid="{5B179764-2FBA-4321-A9CE-9F164CD6646F}"/>
    <cellStyle name="Normal 8 2 2 2 5 3" xfId="5673" xr:uid="{00000000-0005-0000-0000-0000391C0000}"/>
    <cellStyle name="Normal 8 2 2 2 5 3 2" xfId="14112" xr:uid="{0BBFEC75-66F8-4E7D-B850-250AD1853F18}"/>
    <cellStyle name="Normal 8 2 2 2 5 4" xfId="9894" xr:uid="{DBE6D06E-536C-471A-93B3-0D9FBAC72042}"/>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16670" xr:uid="{E94C22B1-1F77-4848-A0C3-2E0EA9C8B7F6}"/>
    <cellStyle name="Normal 8 2 2 2 6 2 3" xfId="12452" xr:uid="{FEBD925A-3C76-41B5-A8DE-722781A4B5F6}"/>
    <cellStyle name="Normal 8 2 2 2 6 3" xfId="6086" xr:uid="{00000000-0005-0000-0000-00003D1C0000}"/>
    <cellStyle name="Normal 8 2 2 2 6 3 2" xfId="14525" xr:uid="{35ED32F0-35EA-4799-BF87-27081015B2DA}"/>
    <cellStyle name="Normal 8 2 2 2 6 4" xfId="10307" xr:uid="{C78D35BE-0C5A-4C71-BD1A-587C935B1F97}"/>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17083" xr:uid="{265A52B5-1CB8-4DE0-B4BA-CD854F50EC13}"/>
    <cellStyle name="Normal 8 2 2 2 7 2 3" xfId="12865" xr:uid="{6A14085E-B34F-40A6-B751-B0DA67C17414}"/>
    <cellStyle name="Normal 8 2 2 2 7 3" xfId="6499" xr:uid="{00000000-0005-0000-0000-0000411C0000}"/>
    <cellStyle name="Normal 8 2 2 2 7 3 2" xfId="14938" xr:uid="{D3835CA1-3151-4116-9B39-FAB5F77DF0F3}"/>
    <cellStyle name="Normal 8 2 2 2 7 4" xfId="10720" xr:uid="{920E7B92-3BAB-43A7-86A9-73621312FE9A}"/>
    <cellStyle name="Normal 8 2 2 2 8" xfId="2628" xr:uid="{00000000-0005-0000-0000-0000421C0000}"/>
    <cellStyle name="Normal 8 2 2 2 8 2" xfId="6912" xr:uid="{00000000-0005-0000-0000-0000431C0000}"/>
    <cellStyle name="Normal 8 2 2 2 8 2 2" xfId="15351" xr:uid="{730A6FC5-EF5F-4D39-9354-97AA108AADC1}"/>
    <cellStyle name="Normal 8 2 2 2 8 3" xfId="11133" xr:uid="{9F5C9645-78E5-4F90-8DF5-BB3D8E0AEA2C}"/>
    <cellStyle name="Normal 8 2 2 2 9" xfId="4847" xr:uid="{00000000-0005-0000-0000-0000441C0000}"/>
    <cellStyle name="Normal 8 2 2 2 9 2" xfId="13286" xr:uid="{F5415E73-D0D4-4451-9596-72E56CB70F88}"/>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5849" xr:uid="{B6198ED3-91B0-4FEB-B012-BD848CE074D8}"/>
    <cellStyle name="Normal 8 2 2 3 2 2 2 3" xfId="11631" xr:uid="{BE083C30-B8BA-46D6-8E32-B152E08CF21E}"/>
    <cellStyle name="Normal 8 2 2 3 2 2 3" xfId="5265" xr:uid="{00000000-0005-0000-0000-00004A1C0000}"/>
    <cellStyle name="Normal 8 2 2 3 2 2 3 2" xfId="13704" xr:uid="{5615D24B-E422-4E51-B9E2-BE4DE58AC9EC}"/>
    <cellStyle name="Normal 8 2 2 3 2 2 4" xfId="9486" xr:uid="{879AA215-0363-42E5-904B-60BC2A07D05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16262" xr:uid="{13D02484-7F0D-4C1F-AAAC-8AC26F41BE22}"/>
    <cellStyle name="Normal 8 2 2 3 2 3 2 3" xfId="12044" xr:uid="{D46B0084-0D8E-48E7-BF23-36F6634842A0}"/>
    <cellStyle name="Normal 8 2 2 3 2 3 3" xfId="5678" xr:uid="{00000000-0005-0000-0000-00004E1C0000}"/>
    <cellStyle name="Normal 8 2 2 3 2 3 3 2" xfId="14117" xr:uid="{3A75FB50-06AE-4154-9F83-8FF0AF595216}"/>
    <cellStyle name="Normal 8 2 2 3 2 3 4" xfId="9899" xr:uid="{0CC99A34-4F07-4DA3-97BE-AD82D42258DD}"/>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16675" xr:uid="{1A8D3F54-B21A-4B25-807F-BC3D4268518C}"/>
    <cellStyle name="Normal 8 2 2 3 2 4 2 3" xfId="12457" xr:uid="{B6E2658E-0E0F-4B37-95F6-F97E750DA0C3}"/>
    <cellStyle name="Normal 8 2 2 3 2 4 3" xfId="6091" xr:uid="{00000000-0005-0000-0000-0000521C0000}"/>
    <cellStyle name="Normal 8 2 2 3 2 4 3 2" xfId="14530" xr:uid="{626A6806-F99B-4077-AC07-D3A335851DF8}"/>
    <cellStyle name="Normal 8 2 2 3 2 4 4" xfId="10312" xr:uid="{19E900EC-37F9-4279-936B-BB985299985F}"/>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17088" xr:uid="{481B3FE7-FC5E-4030-A140-8678ECF50EE4}"/>
    <cellStyle name="Normal 8 2 2 3 2 5 2 3" xfId="12870" xr:uid="{964EF9FA-1F58-4412-B8C5-031811FB38E6}"/>
    <cellStyle name="Normal 8 2 2 3 2 5 3" xfId="6504" xr:uid="{00000000-0005-0000-0000-0000561C0000}"/>
    <cellStyle name="Normal 8 2 2 3 2 5 3 2" xfId="14943" xr:uid="{5A3F7A0B-99BE-4D1E-82EF-C3E0ECD41CB4}"/>
    <cellStyle name="Normal 8 2 2 3 2 5 4" xfId="10725" xr:uid="{8C526366-2C34-470E-869B-8B240C1A658F}"/>
    <cellStyle name="Normal 8 2 2 3 2 6" xfId="2633" xr:uid="{00000000-0005-0000-0000-0000571C0000}"/>
    <cellStyle name="Normal 8 2 2 3 2 6 2" xfId="6917" xr:uid="{00000000-0005-0000-0000-0000581C0000}"/>
    <cellStyle name="Normal 8 2 2 3 2 6 2 2" xfId="15356" xr:uid="{E8E43B05-854A-416E-94F0-EF46186060ED}"/>
    <cellStyle name="Normal 8 2 2 3 2 6 3" xfId="11138" xr:uid="{B5C600F2-0B91-4D88-BB11-ABF2AADCE818}"/>
    <cellStyle name="Normal 8 2 2 3 2 7" xfId="4852" xr:uid="{00000000-0005-0000-0000-0000591C0000}"/>
    <cellStyle name="Normal 8 2 2 3 2 7 2" xfId="13291" xr:uid="{23E31D54-4587-486E-8EE2-43CCB034A3F0}"/>
    <cellStyle name="Normal 8 2 2 3 2 8" xfId="9073" xr:uid="{FA2A6972-92C5-455E-95E7-5B700A31DCE3}"/>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5848" xr:uid="{64F2C95F-8FBF-4FFF-B912-3BA2B5C895D9}"/>
    <cellStyle name="Normal 8 2 2 3 3 2 3" xfId="11630" xr:uid="{5599D41E-4990-400A-BC3F-5A19448BC65B}"/>
    <cellStyle name="Normal 8 2 2 3 3 3" xfId="5264" xr:uid="{00000000-0005-0000-0000-00005D1C0000}"/>
    <cellStyle name="Normal 8 2 2 3 3 3 2" xfId="13703" xr:uid="{246BD0D1-017C-4306-80CB-3AC3D1049CD1}"/>
    <cellStyle name="Normal 8 2 2 3 3 4" xfId="9485" xr:uid="{3FEDC7E0-B697-47D6-B4F3-7FFEA126805A}"/>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16261" xr:uid="{9A7A78C7-5D38-413B-8E93-DE145CC3E68A}"/>
    <cellStyle name="Normal 8 2 2 3 4 2 3" xfId="12043" xr:uid="{CEE320C9-2A37-4DEF-B8D8-4ACC210E9FF1}"/>
    <cellStyle name="Normal 8 2 2 3 4 3" xfId="5677" xr:uid="{00000000-0005-0000-0000-0000611C0000}"/>
    <cellStyle name="Normal 8 2 2 3 4 3 2" xfId="14116" xr:uid="{C47977F9-0A21-4896-BCCB-DCE13EEFDF76}"/>
    <cellStyle name="Normal 8 2 2 3 4 4" xfId="9898" xr:uid="{0A32D822-4642-45B6-B14E-701A6C7FFF71}"/>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16674" xr:uid="{AAAE7A70-CA15-41FB-A97F-04E8EC01EF39}"/>
    <cellStyle name="Normal 8 2 2 3 5 2 3" xfId="12456" xr:uid="{5D7FFCA4-62D3-4858-8A10-FF07A387134C}"/>
    <cellStyle name="Normal 8 2 2 3 5 3" xfId="6090" xr:uid="{00000000-0005-0000-0000-0000651C0000}"/>
    <cellStyle name="Normal 8 2 2 3 5 3 2" xfId="14529" xr:uid="{AE82BA22-0855-42ED-81A9-4A65DFA4499D}"/>
    <cellStyle name="Normal 8 2 2 3 5 4" xfId="10311" xr:uid="{2AEA1B7B-1F01-4C7B-8AF5-ABF316F8F784}"/>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17087" xr:uid="{8FD9234E-5BD9-424B-826A-168840E5B888}"/>
    <cellStyle name="Normal 8 2 2 3 6 2 3" xfId="12869" xr:uid="{AFD964A3-2027-47D4-AA47-36D1ED76C3AA}"/>
    <cellStyle name="Normal 8 2 2 3 6 3" xfId="6503" xr:uid="{00000000-0005-0000-0000-0000691C0000}"/>
    <cellStyle name="Normal 8 2 2 3 6 3 2" xfId="14942" xr:uid="{512957CA-1C1B-4585-BD97-4F203C5759BB}"/>
    <cellStyle name="Normal 8 2 2 3 6 4" xfId="10724" xr:uid="{9DD3E319-57D7-4BA1-862D-02F83D96CECF}"/>
    <cellStyle name="Normal 8 2 2 3 7" xfId="2632" xr:uid="{00000000-0005-0000-0000-00006A1C0000}"/>
    <cellStyle name="Normal 8 2 2 3 7 2" xfId="6916" xr:uid="{00000000-0005-0000-0000-00006B1C0000}"/>
    <cellStyle name="Normal 8 2 2 3 7 2 2" xfId="15355" xr:uid="{819BFC0D-4193-4170-A212-16FB969CF7D0}"/>
    <cellStyle name="Normal 8 2 2 3 7 3" xfId="11137" xr:uid="{6B06B21A-2208-486B-A080-1849FB38FD70}"/>
    <cellStyle name="Normal 8 2 2 3 8" xfId="4851" xr:uid="{00000000-0005-0000-0000-00006C1C0000}"/>
    <cellStyle name="Normal 8 2 2 3 8 2" xfId="13290" xr:uid="{54EE831C-361D-46A8-9011-E27087573E20}"/>
    <cellStyle name="Normal 8 2 2 3 9" xfId="9072" xr:uid="{85DFC3EA-767B-4350-A652-FB87939FE095}"/>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5850" xr:uid="{C9141C89-F509-4B19-B6A0-6F7EA0307066}"/>
    <cellStyle name="Normal 8 2 2 4 2 2 3" xfId="11632" xr:uid="{BC352793-24C7-4D6D-8B57-9FD1032304AB}"/>
    <cellStyle name="Normal 8 2 2 4 2 3" xfId="5266" xr:uid="{00000000-0005-0000-0000-0000711C0000}"/>
    <cellStyle name="Normal 8 2 2 4 2 3 2" xfId="13705" xr:uid="{42852A04-0247-43F9-8798-C5B4F3D37424}"/>
    <cellStyle name="Normal 8 2 2 4 2 4" xfId="9487" xr:uid="{AAEFC1EA-5F68-40F4-BE46-F073B08ABD6F}"/>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16263" xr:uid="{C6497F6B-62E2-4146-8EEB-449F0B186DB4}"/>
    <cellStyle name="Normal 8 2 2 4 3 2 3" xfId="12045" xr:uid="{B46AE293-B7CE-4E44-A64A-1C62524A1F75}"/>
    <cellStyle name="Normal 8 2 2 4 3 3" xfId="5679" xr:uid="{00000000-0005-0000-0000-0000751C0000}"/>
    <cellStyle name="Normal 8 2 2 4 3 3 2" xfId="14118" xr:uid="{B5E80416-D703-4B7C-86D5-E6040BDF97CE}"/>
    <cellStyle name="Normal 8 2 2 4 3 4" xfId="9900" xr:uid="{544F74D6-FD0A-4293-ABD5-3AAA6BC0B645}"/>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16676" xr:uid="{40FCB731-28D7-4EA1-B937-7C7A8537FC4F}"/>
    <cellStyle name="Normal 8 2 2 4 4 2 3" xfId="12458" xr:uid="{043A1205-8549-40F6-9440-6241505AB520}"/>
    <cellStyle name="Normal 8 2 2 4 4 3" xfId="6092" xr:uid="{00000000-0005-0000-0000-0000791C0000}"/>
    <cellStyle name="Normal 8 2 2 4 4 3 2" xfId="14531" xr:uid="{A284D274-32A1-41F1-83EB-9799FBE831F5}"/>
    <cellStyle name="Normal 8 2 2 4 4 4" xfId="10313" xr:uid="{C0432AF3-E26B-4C10-9FB3-0EFCAC264270}"/>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17089" xr:uid="{4D67A627-BFD7-4F47-A6A7-0788E31549D1}"/>
    <cellStyle name="Normal 8 2 2 4 5 2 3" xfId="12871" xr:uid="{137F9616-51AC-463B-BA8C-A0ED205118EC}"/>
    <cellStyle name="Normal 8 2 2 4 5 3" xfId="6505" xr:uid="{00000000-0005-0000-0000-00007D1C0000}"/>
    <cellStyle name="Normal 8 2 2 4 5 3 2" xfId="14944" xr:uid="{815B2BBB-275A-401C-9EBD-679BFFEB2D9F}"/>
    <cellStyle name="Normal 8 2 2 4 5 4" xfId="10726" xr:uid="{4A5E5F08-4AE5-473A-B3B5-CD15387D538B}"/>
    <cellStyle name="Normal 8 2 2 4 6" xfId="2634" xr:uid="{00000000-0005-0000-0000-00007E1C0000}"/>
    <cellStyle name="Normal 8 2 2 4 6 2" xfId="6918" xr:uid="{00000000-0005-0000-0000-00007F1C0000}"/>
    <cellStyle name="Normal 8 2 2 4 6 2 2" xfId="15357" xr:uid="{0BE077A7-0193-4B10-BBC5-0B7FC37BC673}"/>
    <cellStyle name="Normal 8 2 2 4 6 3" xfId="11139" xr:uid="{2CB2738D-C413-4C4D-B54C-2405491CFB81}"/>
    <cellStyle name="Normal 8 2 2 4 7" xfId="4853" xr:uid="{00000000-0005-0000-0000-0000801C0000}"/>
    <cellStyle name="Normal 8 2 2 4 7 2" xfId="13292" xr:uid="{780F0EC7-2552-4906-801F-269DFC1FEB82}"/>
    <cellStyle name="Normal 8 2 2 4 8" xfId="9074" xr:uid="{CA8A9323-DA2D-420F-8278-9C0C07A4A5EB}"/>
    <cellStyle name="Normal 8 2 2 5" xfId="947" xr:uid="{00000000-0005-0000-0000-0000811C0000}"/>
    <cellStyle name="Normal 8 2 2 5 2" xfId="3181" xr:uid="{00000000-0005-0000-0000-0000821C0000}"/>
    <cellStyle name="Normal 8 2 2 5 2 2" xfId="7404" xr:uid="{00000000-0005-0000-0000-0000831C0000}"/>
    <cellStyle name="Normal 8 2 2 5 2 2 2" xfId="15843" xr:uid="{3B9EC7CD-CB23-4934-B012-D703F1BE2828}"/>
    <cellStyle name="Normal 8 2 2 5 2 3" xfId="11625" xr:uid="{A2CA6F9D-58D4-4967-AB1F-3A065B335C41}"/>
    <cellStyle name="Normal 8 2 2 5 3" xfId="5259" xr:uid="{00000000-0005-0000-0000-0000841C0000}"/>
    <cellStyle name="Normal 8 2 2 5 3 2" xfId="13698" xr:uid="{BF5CA1FF-F5B8-4F01-BBEF-5F61B86F8F3E}"/>
    <cellStyle name="Normal 8 2 2 5 4" xfId="9480" xr:uid="{2459B8E5-BAE1-4D31-A1BA-E69FFC8B02D5}"/>
    <cellStyle name="Normal 8 2 2 6" xfId="1364" xr:uid="{00000000-0005-0000-0000-0000851C0000}"/>
    <cellStyle name="Normal 8 2 2 6 2" xfId="3594" xr:uid="{00000000-0005-0000-0000-0000861C0000}"/>
    <cellStyle name="Normal 8 2 2 6 2 2" xfId="7817" xr:uid="{00000000-0005-0000-0000-0000871C0000}"/>
    <cellStyle name="Normal 8 2 2 6 2 2 2" xfId="16256" xr:uid="{024375F2-6AAD-4456-9094-5640B0C3BA15}"/>
    <cellStyle name="Normal 8 2 2 6 2 3" xfId="12038" xr:uid="{4005A8B0-22F2-43D9-AC20-D67779614CAA}"/>
    <cellStyle name="Normal 8 2 2 6 3" xfId="5672" xr:uid="{00000000-0005-0000-0000-0000881C0000}"/>
    <cellStyle name="Normal 8 2 2 6 3 2" xfId="14111" xr:uid="{C3800FFA-2B9D-4CDA-885C-E22DBF5F4A3E}"/>
    <cellStyle name="Normal 8 2 2 6 4" xfId="9893" xr:uid="{D9DA17B1-6DAC-4EED-AC92-17220E45BB1F}"/>
    <cellStyle name="Normal 8 2 2 7" xfId="1777" xr:uid="{00000000-0005-0000-0000-0000891C0000}"/>
    <cellStyle name="Normal 8 2 2 7 2" xfId="4007" xr:uid="{00000000-0005-0000-0000-00008A1C0000}"/>
    <cellStyle name="Normal 8 2 2 7 2 2" xfId="8230" xr:uid="{00000000-0005-0000-0000-00008B1C0000}"/>
    <cellStyle name="Normal 8 2 2 7 2 2 2" xfId="16669" xr:uid="{48A35BF4-4859-4338-9202-D4A4962E134F}"/>
    <cellStyle name="Normal 8 2 2 7 2 3" xfId="12451" xr:uid="{10E8CC19-FC01-49FC-97F6-FFD4FAEFA590}"/>
    <cellStyle name="Normal 8 2 2 7 3" xfId="6085" xr:uid="{00000000-0005-0000-0000-00008C1C0000}"/>
    <cellStyle name="Normal 8 2 2 7 3 2" xfId="14524" xr:uid="{A27215BE-EBEE-41D2-ACAF-A5E10F6D87B7}"/>
    <cellStyle name="Normal 8 2 2 7 4" xfId="10306" xr:uid="{A794A1FA-4E1D-4B7A-A3D8-EF9B87E178A0}"/>
    <cellStyle name="Normal 8 2 2 8" xfId="2191" xr:uid="{00000000-0005-0000-0000-00008D1C0000}"/>
    <cellStyle name="Normal 8 2 2 8 2" xfId="4420" xr:uid="{00000000-0005-0000-0000-00008E1C0000}"/>
    <cellStyle name="Normal 8 2 2 8 2 2" xfId="8643" xr:uid="{00000000-0005-0000-0000-00008F1C0000}"/>
    <cellStyle name="Normal 8 2 2 8 2 2 2" xfId="17082" xr:uid="{FC354E82-3859-4137-A674-2D0C579CD1DD}"/>
    <cellStyle name="Normal 8 2 2 8 2 3" xfId="12864" xr:uid="{69BC681D-4623-44C1-B0E9-DD88CB6F5AE1}"/>
    <cellStyle name="Normal 8 2 2 8 3" xfId="6498" xr:uid="{00000000-0005-0000-0000-0000901C0000}"/>
    <cellStyle name="Normal 8 2 2 8 3 2" xfId="14937" xr:uid="{8BE890DE-003E-403E-A12F-720D287227B8}"/>
    <cellStyle name="Normal 8 2 2 8 4" xfId="10719" xr:uid="{55005B4F-11B1-40A5-BB0F-D846783E750F}"/>
    <cellStyle name="Normal 8 2 2 9" xfId="2627" xr:uid="{00000000-0005-0000-0000-0000911C0000}"/>
    <cellStyle name="Normal 8 2 2 9 2" xfId="6911" xr:uid="{00000000-0005-0000-0000-0000921C0000}"/>
    <cellStyle name="Normal 8 2 2 9 2 2" xfId="15350" xr:uid="{999FE0F0-6D22-4CB7-A50B-5DB3BCC58666}"/>
    <cellStyle name="Normal 8 2 2 9 3" xfId="11132" xr:uid="{CDB5F6BB-B79F-42D4-93DD-7150392BA055}"/>
    <cellStyle name="Normal 8 2 3" xfId="488" xr:uid="{00000000-0005-0000-0000-0000931C0000}"/>
    <cellStyle name="Normal 8 2 3 10" xfId="9075" xr:uid="{55920260-C684-4517-B1BC-F92EED433F71}"/>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5853" xr:uid="{528B2A2E-DB3B-4CD5-A195-D0CF1F111D77}"/>
    <cellStyle name="Normal 8 2 3 2 2 2 2 3" xfId="11635" xr:uid="{7F3B062E-D233-4E04-B7A7-850098327735}"/>
    <cellStyle name="Normal 8 2 3 2 2 2 3" xfId="5269" xr:uid="{00000000-0005-0000-0000-0000991C0000}"/>
    <cellStyle name="Normal 8 2 3 2 2 2 3 2" xfId="13708" xr:uid="{4738FE65-18F3-4C28-A6D0-906487AC1150}"/>
    <cellStyle name="Normal 8 2 3 2 2 2 4" xfId="9490" xr:uid="{12086D0E-E12F-440A-ADA4-A02D14F0A063}"/>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16266" xr:uid="{71E963F5-5222-48DE-A867-BBD8558047E9}"/>
    <cellStyle name="Normal 8 2 3 2 2 3 2 3" xfId="12048" xr:uid="{70B53183-738B-4F12-A1D3-B42A2B74004F}"/>
    <cellStyle name="Normal 8 2 3 2 2 3 3" xfId="5682" xr:uid="{00000000-0005-0000-0000-00009D1C0000}"/>
    <cellStyle name="Normal 8 2 3 2 2 3 3 2" xfId="14121" xr:uid="{55DC8CF0-2AA2-474F-9D72-F132069B2D2B}"/>
    <cellStyle name="Normal 8 2 3 2 2 3 4" xfId="9903" xr:uid="{DDEE2D0E-F384-40CE-915D-B513518110B7}"/>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16679" xr:uid="{CC1984CC-7C1D-4126-9539-39AA5CE2E07D}"/>
    <cellStyle name="Normal 8 2 3 2 2 4 2 3" xfId="12461" xr:uid="{5B5DF9C1-1CF0-404E-9E9B-8D554EFFF88B}"/>
    <cellStyle name="Normal 8 2 3 2 2 4 3" xfId="6095" xr:uid="{00000000-0005-0000-0000-0000A11C0000}"/>
    <cellStyle name="Normal 8 2 3 2 2 4 3 2" xfId="14534" xr:uid="{01613862-E131-40C5-BD31-1E7C99E95517}"/>
    <cellStyle name="Normal 8 2 3 2 2 4 4" xfId="10316" xr:uid="{D90EC949-D6A2-40FA-8E11-33A95AEC3E9F}"/>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17092" xr:uid="{A00F3B37-87C5-4C73-86FA-2DA612AC1E7E}"/>
    <cellStyle name="Normal 8 2 3 2 2 5 2 3" xfId="12874" xr:uid="{08087176-139C-43DE-99A3-35610943C632}"/>
    <cellStyle name="Normal 8 2 3 2 2 5 3" xfId="6508" xr:uid="{00000000-0005-0000-0000-0000A51C0000}"/>
    <cellStyle name="Normal 8 2 3 2 2 5 3 2" xfId="14947" xr:uid="{F826739A-11EF-43E8-B084-8D00A821DF67}"/>
    <cellStyle name="Normal 8 2 3 2 2 5 4" xfId="10729" xr:uid="{07CB34B1-5374-4A25-AF89-361283DE98F0}"/>
    <cellStyle name="Normal 8 2 3 2 2 6" xfId="2637" xr:uid="{00000000-0005-0000-0000-0000A61C0000}"/>
    <cellStyle name="Normal 8 2 3 2 2 6 2" xfId="6921" xr:uid="{00000000-0005-0000-0000-0000A71C0000}"/>
    <cellStyle name="Normal 8 2 3 2 2 6 2 2" xfId="15360" xr:uid="{46B863C3-EE2B-4102-8B73-47BFE640A0E5}"/>
    <cellStyle name="Normal 8 2 3 2 2 6 3" xfId="11142" xr:uid="{D863BBFA-2C59-4E66-8A1E-1A490D574614}"/>
    <cellStyle name="Normal 8 2 3 2 2 7" xfId="4856" xr:uid="{00000000-0005-0000-0000-0000A81C0000}"/>
    <cellStyle name="Normal 8 2 3 2 2 7 2" xfId="13295" xr:uid="{665434F0-82DF-4EE4-9D25-23E811F51CBE}"/>
    <cellStyle name="Normal 8 2 3 2 2 8" xfId="9077" xr:uid="{74CBA27D-8B22-4780-892E-0765FADDB863}"/>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5852" xr:uid="{ACA889D4-26FE-4F3A-B532-D53A7C4814F7}"/>
    <cellStyle name="Normal 8 2 3 2 3 2 3" xfId="11634" xr:uid="{45DD82AD-3731-45B6-9660-A02D7E7B0DBE}"/>
    <cellStyle name="Normal 8 2 3 2 3 3" xfId="5268" xr:uid="{00000000-0005-0000-0000-0000AC1C0000}"/>
    <cellStyle name="Normal 8 2 3 2 3 3 2" xfId="13707" xr:uid="{FDFA592B-64F6-4079-9763-182A62473AE9}"/>
    <cellStyle name="Normal 8 2 3 2 3 4" xfId="9489" xr:uid="{C0754A14-FE3A-4462-9A91-57DE8A87B716}"/>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16265" xr:uid="{E6C6F3CB-73CA-4AAE-A27F-8251FB5CCF7E}"/>
    <cellStyle name="Normal 8 2 3 2 4 2 3" xfId="12047" xr:uid="{9E3CDB82-CB7C-4752-B88D-8FF66E70F3CC}"/>
    <cellStyle name="Normal 8 2 3 2 4 3" xfId="5681" xr:uid="{00000000-0005-0000-0000-0000B01C0000}"/>
    <cellStyle name="Normal 8 2 3 2 4 3 2" xfId="14120" xr:uid="{E4A1F557-7985-471E-8A36-8DFFEE3DF533}"/>
    <cellStyle name="Normal 8 2 3 2 4 4" xfId="9902" xr:uid="{9C241860-D035-4898-8EC3-5EA040854993}"/>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16678" xr:uid="{CAB4A074-6810-4723-B161-7DF2008EA69F}"/>
    <cellStyle name="Normal 8 2 3 2 5 2 3" xfId="12460" xr:uid="{85C2B069-8BA7-4626-833C-6E68DCFCEED6}"/>
    <cellStyle name="Normal 8 2 3 2 5 3" xfId="6094" xr:uid="{00000000-0005-0000-0000-0000B41C0000}"/>
    <cellStyle name="Normal 8 2 3 2 5 3 2" xfId="14533" xr:uid="{D460AF1C-8D08-4553-954D-C5611AFFA3CC}"/>
    <cellStyle name="Normal 8 2 3 2 5 4" xfId="10315" xr:uid="{6A2E5264-1236-44F4-A0E7-2F99388CB9D0}"/>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17091" xr:uid="{657716BC-DA1C-44E5-B2B2-482450A31553}"/>
    <cellStyle name="Normal 8 2 3 2 6 2 3" xfId="12873" xr:uid="{413C677D-856E-47B2-B2BC-74A585366CDA}"/>
    <cellStyle name="Normal 8 2 3 2 6 3" xfId="6507" xr:uid="{00000000-0005-0000-0000-0000B81C0000}"/>
    <cellStyle name="Normal 8 2 3 2 6 3 2" xfId="14946" xr:uid="{DBC48F8F-3EB9-4311-BDED-1520325EA07E}"/>
    <cellStyle name="Normal 8 2 3 2 6 4" xfId="10728" xr:uid="{33DF5FF6-7056-46A8-92AB-D23F2CC9C6D1}"/>
    <cellStyle name="Normal 8 2 3 2 7" xfId="2636" xr:uid="{00000000-0005-0000-0000-0000B91C0000}"/>
    <cellStyle name="Normal 8 2 3 2 7 2" xfId="6920" xr:uid="{00000000-0005-0000-0000-0000BA1C0000}"/>
    <cellStyle name="Normal 8 2 3 2 7 2 2" xfId="15359" xr:uid="{177E2FA1-2A67-41E8-AEC4-8C09C9D79B87}"/>
    <cellStyle name="Normal 8 2 3 2 7 3" xfId="11141" xr:uid="{E854869E-31F5-4FEE-99F5-63CB3E42BFE1}"/>
    <cellStyle name="Normal 8 2 3 2 8" xfId="4855" xr:uid="{00000000-0005-0000-0000-0000BB1C0000}"/>
    <cellStyle name="Normal 8 2 3 2 8 2" xfId="13294" xr:uid="{0CDAE05C-5C70-464E-BD71-5783A2F69D6C}"/>
    <cellStyle name="Normal 8 2 3 2 9" xfId="9076" xr:uid="{45739482-FB3E-4EAB-987F-247F4BF4079B}"/>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5854" xr:uid="{4CD32646-A60A-4318-A32B-00BE5CCC1EC7}"/>
    <cellStyle name="Normal 8 2 3 3 2 2 3" xfId="11636" xr:uid="{543C0588-C6E2-409C-966B-631FEB49F235}"/>
    <cellStyle name="Normal 8 2 3 3 2 3" xfId="5270" xr:uid="{00000000-0005-0000-0000-0000C01C0000}"/>
    <cellStyle name="Normal 8 2 3 3 2 3 2" xfId="13709" xr:uid="{DF32B5BB-0BC6-4BAF-9706-5B172674CCB6}"/>
    <cellStyle name="Normal 8 2 3 3 2 4" xfId="9491" xr:uid="{D6B0AC74-4888-4835-90A4-F1DB122C970E}"/>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16267" xr:uid="{A373A3F6-8A5C-4CBF-AFDC-1A92BEFBFD6B}"/>
    <cellStyle name="Normal 8 2 3 3 3 2 3" xfId="12049" xr:uid="{23C06C58-0465-476F-A681-9BF851FCFD90}"/>
    <cellStyle name="Normal 8 2 3 3 3 3" xfId="5683" xr:uid="{00000000-0005-0000-0000-0000C41C0000}"/>
    <cellStyle name="Normal 8 2 3 3 3 3 2" xfId="14122" xr:uid="{D18C77BE-CA44-4906-87D5-919E389061BC}"/>
    <cellStyle name="Normal 8 2 3 3 3 4" xfId="9904" xr:uid="{4C820391-95F0-4F8F-B5F5-65D8D466BA27}"/>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16680" xr:uid="{DCC3CAAC-1AE3-44A6-98BA-F1CE7334937F}"/>
    <cellStyle name="Normal 8 2 3 3 4 2 3" xfId="12462" xr:uid="{40007FD9-AC36-426E-B80F-EE3A6CA13E3F}"/>
    <cellStyle name="Normal 8 2 3 3 4 3" xfId="6096" xr:uid="{00000000-0005-0000-0000-0000C81C0000}"/>
    <cellStyle name="Normal 8 2 3 3 4 3 2" xfId="14535" xr:uid="{2EB90124-2620-4F5C-B4FC-EA5AF2F8F24C}"/>
    <cellStyle name="Normal 8 2 3 3 4 4" xfId="10317" xr:uid="{6DDE3A0B-3119-49A9-AFFB-D4C089F94CC8}"/>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17093" xr:uid="{784A380C-AF7E-4B73-847F-726BFA420745}"/>
    <cellStyle name="Normal 8 2 3 3 5 2 3" xfId="12875" xr:uid="{0EED529C-5B33-487A-B733-67C402757703}"/>
    <cellStyle name="Normal 8 2 3 3 5 3" xfId="6509" xr:uid="{00000000-0005-0000-0000-0000CC1C0000}"/>
    <cellStyle name="Normal 8 2 3 3 5 3 2" xfId="14948" xr:uid="{7D41FD0A-C465-40A4-AA91-3F60D7E91C2E}"/>
    <cellStyle name="Normal 8 2 3 3 5 4" xfId="10730" xr:uid="{B5C009CA-BE99-423E-AE84-A84F42B1311E}"/>
    <cellStyle name="Normal 8 2 3 3 6" xfId="2638" xr:uid="{00000000-0005-0000-0000-0000CD1C0000}"/>
    <cellStyle name="Normal 8 2 3 3 6 2" xfId="6922" xr:uid="{00000000-0005-0000-0000-0000CE1C0000}"/>
    <cellStyle name="Normal 8 2 3 3 6 2 2" xfId="15361" xr:uid="{30D2EC86-E559-4F04-AF05-FD4B5BBCDE47}"/>
    <cellStyle name="Normal 8 2 3 3 6 3" xfId="11143" xr:uid="{F3A4F41B-2A68-4066-9E3C-6F70F4CC08D8}"/>
    <cellStyle name="Normal 8 2 3 3 7" xfId="4857" xr:uid="{00000000-0005-0000-0000-0000CF1C0000}"/>
    <cellStyle name="Normal 8 2 3 3 7 2" xfId="13296" xr:uid="{D0115BEA-5588-44FF-B214-4ED3B53A0C17}"/>
    <cellStyle name="Normal 8 2 3 3 8" xfId="9078" xr:uid="{001D321D-73EB-407D-AC64-14EED42305E1}"/>
    <cellStyle name="Normal 8 2 3 4" xfId="955" xr:uid="{00000000-0005-0000-0000-0000D01C0000}"/>
    <cellStyle name="Normal 8 2 3 4 2" xfId="3189" xr:uid="{00000000-0005-0000-0000-0000D11C0000}"/>
    <cellStyle name="Normal 8 2 3 4 2 2" xfId="7412" xr:uid="{00000000-0005-0000-0000-0000D21C0000}"/>
    <cellStyle name="Normal 8 2 3 4 2 2 2" xfId="15851" xr:uid="{7BD3366C-3348-4AAE-805C-673D7D14FF11}"/>
    <cellStyle name="Normal 8 2 3 4 2 3" xfId="11633" xr:uid="{FA7936CA-D41E-470E-81E0-94698537B21E}"/>
    <cellStyle name="Normal 8 2 3 4 3" xfId="5267" xr:uid="{00000000-0005-0000-0000-0000D31C0000}"/>
    <cellStyle name="Normal 8 2 3 4 3 2" xfId="13706" xr:uid="{EDB1FD21-76F9-47FB-BB19-0215C5D1F7B9}"/>
    <cellStyle name="Normal 8 2 3 4 4" xfId="9488" xr:uid="{C4A298F5-B5B1-4123-B9B8-4944C95E8B20}"/>
    <cellStyle name="Normal 8 2 3 5" xfId="1372" xr:uid="{00000000-0005-0000-0000-0000D41C0000}"/>
    <cellStyle name="Normal 8 2 3 5 2" xfId="3602" xr:uid="{00000000-0005-0000-0000-0000D51C0000}"/>
    <cellStyle name="Normal 8 2 3 5 2 2" xfId="7825" xr:uid="{00000000-0005-0000-0000-0000D61C0000}"/>
    <cellStyle name="Normal 8 2 3 5 2 2 2" xfId="16264" xr:uid="{ADC9E12E-1216-48CF-9E52-E2A0743EF9C3}"/>
    <cellStyle name="Normal 8 2 3 5 2 3" xfId="12046" xr:uid="{75CE1BF6-0E24-4059-96EC-21CF624646A0}"/>
    <cellStyle name="Normal 8 2 3 5 3" xfId="5680" xr:uid="{00000000-0005-0000-0000-0000D71C0000}"/>
    <cellStyle name="Normal 8 2 3 5 3 2" xfId="14119" xr:uid="{8033E717-E446-464C-947C-871D282F077C}"/>
    <cellStyle name="Normal 8 2 3 5 4" xfId="9901" xr:uid="{9264DFCD-26CA-4794-B603-C3A77589D4B7}"/>
    <cellStyle name="Normal 8 2 3 6" xfId="1785" xr:uid="{00000000-0005-0000-0000-0000D81C0000}"/>
    <cellStyle name="Normal 8 2 3 6 2" xfId="4015" xr:uid="{00000000-0005-0000-0000-0000D91C0000}"/>
    <cellStyle name="Normal 8 2 3 6 2 2" xfId="8238" xr:uid="{00000000-0005-0000-0000-0000DA1C0000}"/>
    <cellStyle name="Normal 8 2 3 6 2 2 2" xfId="16677" xr:uid="{93732577-C080-4830-AF2A-6EEB963AB003}"/>
    <cellStyle name="Normal 8 2 3 6 2 3" xfId="12459" xr:uid="{399B5457-22E7-490E-9C5F-1BD68620C5FD}"/>
    <cellStyle name="Normal 8 2 3 6 3" xfId="6093" xr:uid="{00000000-0005-0000-0000-0000DB1C0000}"/>
    <cellStyle name="Normal 8 2 3 6 3 2" xfId="14532" xr:uid="{35944BEF-C1BF-4688-B4BF-80B5614EE97C}"/>
    <cellStyle name="Normal 8 2 3 6 4" xfId="10314" xr:uid="{113E0CC0-0C6D-456C-A34F-E0EF441B0ACF}"/>
    <cellStyle name="Normal 8 2 3 7" xfId="2199" xr:uid="{00000000-0005-0000-0000-0000DC1C0000}"/>
    <cellStyle name="Normal 8 2 3 7 2" xfId="4428" xr:uid="{00000000-0005-0000-0000-0000DD1C0000}"/>
    <cellStyle name="Normal 8 2 3 7 2 2" xfId="8651" xr:uid="{00000000-0005-0000-0000-0000DE1C0000}"/>
    <cellStyle name="Normal 8 2 3 7 2 2 2" xfId="17090" xr:uid="{775CEF02-58A0-4ED3-AC2B-E393380B87FC}"/>
    <cellStyle name="Normal 8 2 3 7 2 3" xfId="12872" xr:uid="{A460EEA2-0E11-4239-B4D5-1683AB7D6F36}"/>
    <cellStyle name="Normal 8 2 3 7 3" xfId="6506" xr:uid="{00000000-0005-0000-0000-0000DF1C0000}"/>
    <cellStyle name="Normal 8 2 3 7 3 2" xfId="14945" xr:uid="{0D13FB91-D2BB-4D36-A2A1-4FB38D6C93E1}"/>
    <cellStyle name="Normal 8 2 3 7 4" xfId="10727" xr:uid="{FF4C3CDE-618B-41CE-A303-0E4A7F7714D5}"/>
    <cellStyle name="Normal 8 2 3 8" xfId="2635" xr:uid="{00000000-0005-0000-0000-0000E01C0000}"/>
    <cellStyle name="Normal 8 2 3 8 2" xfId="6919" xr:uid="{00000000-0005-0000-0000-0000E11C0000}"/>
    <cellStyle name="Normal 8 2 3 8 2 2" xfId="15358" xr:uid="{1F383F76-E30C-4D29-8159-EAEDAB981575}"/>
    <cellStyle name="Normal 8 2 3 8 3" xfId="11140" xr:uid="{17768BB8-A12B-4CCE-8BDE-197ADCCC3ACB}"/>
    <cellStyle name="Normal 8 2 3 9" xfId="4854" xr:uid="{00000000-0005-0000-0000-0000E21C0000}"/>
    <cellStyle name="Normal 8 2 3 9 2" xfId="13293" xr:uid="{FE3BDABB-3753-42A2-907F-11F2F1246397}"/>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5856" xr:uid="{43256698-1194-409A-94BA-5A1408F35098}"/>
    <cellStyle name="Normal 8 2 4 2 2 2 3" xfId="11638" xr:uid="{B840BD5F-EC2E-440D-81D8-2691CB8BD221}"/>
    <cellStyle name="Normal 8 2 4 2 2 3" xfId="5272" xr:uid="{00000000-0005-0000-0000-0000E81C0000}"/>
    <cellStyle name="Normal 8 2 4 2 2 3 2" xfId="13711" xr:uid="{88A27770-2C4A-4B23-BC6B-864359C2AB66}"/>
    <cellStyle name="Normal 8 2 4 2 2 4" xfId="9493" xr:uid="{46B4503C-9996-49D5-A1AC-16810A9EAEE4}"/>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16269" xr:uid="{E2A60C7A-C2FC-4DA3-922B-28C146798BB8}"/>
    <cellStyle name="Normal 8 2 4 2 3 2 3" xfId="12051" xr:uid="{F655623C-A48E-4400-8AB6-52FE8992B84E}"/>
    <cellStyle name="Normal 8 2 4 2 3 3" xfId="5685" xr:uid="{00000000-0005-0000-0000-0000EC1C0000}"/>
    <cellStyle name="Normal 8 2 4 2 3 3 2" xfId="14124" xr:uid="{D40CF2B8-BFEA-45D8-9938-CB8ABFB10ED6}"/>
    <cellStyle name="Normal 8 2 4 2 3 4" xfId="9906" xr:uid="{48C434F6-884B-4248-AC32-A575E467D815}"/>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16682" xr:uid="{8320358E-7241-40F0-8491-38F8207283B7}"/>
    <cellStyle name="Normal 8 2 4 2 4 2 3" xfId="12464" xr:uid="{F2CF7A94-4E92-4E82-ABF5-E730BCBB3BBB}"/>
    <cellStyle name="Normal 8 2 4 2 4 3" xfId="6098" xr:uid="{00000000-0005-0000-0000-0000F01C0000}"/>
    <cellStyle name="Normal 8 2 4 2 4 3 2" xfId="14537" xr:uid="{BEA0CB6B-8654-4E86-B82F-12B7125BCB53}"/>
    <cellStyle name="Normal 8 2 4 2 4 4" xfId="10319" xr:uid="{1C823D55-8116-424A-8136-6FA9714828E9}"/>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17095" xr:uid="{8A922061-C901-49E1-95C6-72350BC3D5C9}"/>
    <cellStyle name="Normal 8 2 4 2 5 2 3" xfId="12877" xr:uid="{EB846702-C4F4-431B-AD9A-AA7D1D843E1F}"/>
    <cellStyle name="Normal 8 2 4 2 5 3" xfId="6511" xr:uid="{00000000-0005-0000-0000-0000F41C0000}"/>
    <cellStyle name="Normal 8 2 4 2 5 3 2" xfId="14950" xr:uid="{73C96B77-5E88-4D3B-9253-661B49A398E8}"/>
    <cellStyle name="Normal 8 2 4 2 5 4" xfId="10732" xr:uid="{729B53FF-140C-427C-9A47-7BE5ACB1C4F0}"/>
    <cellStyle name="Normal 8 2 4 2 6" xfId="2640" xr:uid="{00000000-0005-0000-0000-0000F51C0000}"/>
    <cellStyle name="Normal 8 2 4 2 6 2" xfId="6924" xr:uid="{00000000-0005-0000-0000-0000F61C0000}"/>
    <cellStyle name="Normal 8 2 4 2 6 2 2" xfId="15363" xr:uid="{A728C8E0-B695-4A6E-9F07-325DA230FCBE}"/>
    <cellStyle name="Normal 8 2 4 2 6 3" xfId="11145" xr:uid="{CE14CFC5-CFEB-4345-B2EC-2640D04F19BE}"/>
    <cellStyle name="Normal 8 2 4 2 7" xfId="4859" xr:uid="{00000000-0005-0000-0000-0000F71C0000}"/>
    <cellStyle name="Normal 8 2 4 2 7 2" xfId="13298" xr:uid="{A21B437E-1D6F-4BDC-A985-0749A92A0C46}"/>
    <cellStyle name="Normal 8 2 4 2 8" xfId="9080" xr:uid="{566D21AE-7EDF-400F-B593-6A7E527715DC}"/>
    <cellStyle name="Normal 8 2 4 3" xfId="959" xr:uid="{00000000-0005-0000-0000-0000F81C0000}"/>
    <cellStyle name="Normal 8 2 4 3 2" xfId="3193" xr:uid="{00000000-0005-0000-0000-0000F91C0000}"/>
    <cellStyle name="Normal 8 2 4 3 2 2" xfId="7416" xr:uid="{00000000-0005-0000-0000-0000FA1C0000}"/>
    <cellStyle name="Normal 8 2 4 3 2 2 2" xfId="15855" xr:uid="{E8AC5BBE-3213-4789-BC6A-7F83E378B952}"/>
    <cellStyle name="Normal 8 2 4 3 2 3" xfId="11637" xr:uid="{576AC95C-2B2B-45E9-861C-B845E0E8550B}"/>
    <cellStyle name="Normal 8 2 4 3 3" xfId="5271" xr:uid="{00000000-0005-0000-0000-0000FB1C0000}"/>
    <cellStyle name="Normal 8 2 4 3 3 2" xfId="13710" xr:uid="{B02D0118-45EB-4904-91B4-61C6FA92A678}"/>
    <cellStyle name="Normal 8 2 4 3 4" xfId="9492" xr:uid="{DEC5164D-BFAC-4A8A-800F-383C52F70E14}"/>
    <cellStyle name="Normal 8 2 4 4" xfId="1376" xr:uid="{00000000-0005-0000-0000-0000FC1C0000}"/>
    <cellStyle name="Normal 8 2 4 4 2" xfId="3606" xr:uid="{00000000-0005-0000-0000-0000FD1C0000}"/>
    <cellStyle name="Normal 8 2 4 4 2 2" xfId="7829" xr:uid="{00000000-0005-0000-0000-0000FE1C0000}"/>
    <cellStyle name="Normal 8 2 4 4 2 2 2" xfId="16268" xr:uid="{9113D375-41F0-4A0B-9FF2-5F2882E11D5D}"/>
    <cellStyle name="Normal 8 2 4 4 2 3" xfId="12050" xr:uid="{F84EEE0A-5C06-4978-B4DE-92AAA2594DAC}"/>
    <cellStyle name="Normal 8 2 4 4 3" xfId="5684" xr:uid="{00000000-0005-0000-0000-0000FF1C0000}"/>
    <cellStyle name="Normal 8 2 4 4 3 2" xfId="14123" xr:uid="{87ABFAD2-2B54-4177-A542-F679398ED3D9}"/>
    <cellStyle name="Normal 8 2 4 4 4" xfId="9905" xr:uid="{DE9072CE-A232-44CB-8149-A8A6954443F0}"/>
    <cellStyle name="Normal 8 2 4 5" xfId="1789" xr:uid="{00000000-0005-0000-0000-0000001D0000}"/>
    <cellStyle name="Normal 8 2 4 5 2" xfId="4019" xr:uid="{00000000-0005-0000-0000-0000011D0000}"/>
    <cellStyle name="Normal 8 2 4 5 2 2" xfId="8242" xr:uid="{00000000-0005-0000-0000-0000021D0000}"/>
    <cellStyle name="Normal 8 2 4 5 2 2 2" xfId="16681" xr:uid="{034E2A3B-881E-4FBF-B571-3D3642999472}"/>
    <cellStyle name="Normal 8 2 4 5 2 3" xfId="12463" xr:uid="{CB1CAD94-2EE4-4314-9CA5-4DA44E9CA7CE}"/>
    <cellStyle name="Normal 8 2 4 5 3" xfId="6097" xr:uid="{00000000-0005-0000-0000-0000031D0000}"/>
    <cellStyle name="Normal 8 2 4 5 3 2" xfId="14536" xr:uid="{6B339ABA-8E64-48C5-A64C-11E20D60F020}"/>
    <cellStyle name="Normal 8 2 4 5 4" xfId="10318" xr:uid="{C706C19C-3A36-4E70-A6A2-D3A8EEFF688C}"/>
    <cellStyle name="Normal 8 2 4 6" xfId="2203" xr:uid="{00000000-0005-0000-0000-0000041D0000}"/>
    <cellStyle name="Normal 8 2 4 6 2" xfId="4432" xr:uid="{00000000-0005-0000-0000-0000051D0000}"/>
    <cellStyle name="Normal 8 2 4 6 2 2" xfId="8655" xr:uid="{00000000-0005-0000-0000-0000061D0000}"/>
    <cellStyle name="Normal 8 2 4 6 2 2 2" xfId="17094" xr:uid="{8FDB5209-CE82-4D2E-B187-26BDA63F1DCF}"/>
    <cellStyle name="Normal 8 2 4 6 2 3" xfId="12876" xr:uid="{F061394B-17A3-4C3C-9FC7-F2EFD1068C13}"/>
    <cellStyle name="Normal 8 2 4 6 3" xfId="6510" xr:uid="{00000000-0005-0000-0000-0000071D0000}"/>
    <cellStyle name="Normal 8 2 4 6 3 2" xfId="14949" xr:uid="{649B6EC6-2DE5-45D8-B76D-DF1FAF62C901}"/>
    <cellStyle name="Normal 8 2 4 6 4" xfId="10731" xr:uid="{88F5950F-9BCB-4EF9-8A2C-B79AB08E3E8B}"/>
    <cellStyle name="Normal 8 2 4 7" xfId="2639" xr:uid="{00000000-0005-0000-0000-0000081D0000}"/>
    <cellStyle name="Normal 8 2 4 7 2" xfId="6923" xr:uid="{00000000-0005-0000-0000-0000091D0000}"/>
    <cellStyle name="Normal 8 2 4 7 2 2" xfId="15362" xr:uid="{D29B27B9-BF7C-46A5-95F3-B318C1ABF705}"/>
    <cellStyle name="Normal 8 2 4 7 3" xfId="11144" xr:uid="{31A3543A-CEBA-48E8-9AC7-7B529ED1170B}"/>
    <cellStyle name="Normal 8 2 4 8" xfId="4858" xr:uid="{00000000-0005-0000-0000-00000A1D0000}"/>
    <cellStyle name="Normal 8 2 4 8 2" xfId="13297" xr:uid="{658A43B3-8AEE-4555-9A07-7A59E5FB9D35}"/>
    <cellStyle name="Normal 8 2 4 9" xfId="9079" xr:uid="{2FD20CAF-3671-4D2D-926F-D4FFFC62E82B}"/>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15857" xr:uid="{A588AD4C-FCD3-4D4B-9480-F0C8617B7DA9}"/>
    <cellStyle name="Normal 8 2 5 2 2 3" xfId="11639" xr:uid="{E44A4609-7C29-43D0-B786-D7D84662FE45}"/>
    <cellStyle name="Normal 8 2 5 2 3" xfId="5273" xr:uid="{00000000-0005-0000-0000-00000F1D0000}"/>
    <cellStyle name="Normal 8 2 5 2 3 2" xfId="13712" xr:uid="{71211B30-B800-493A-89F0-7A214C20251A}"/>
    <cellStyle name="Normal 8 2 5 2 4" xfId="9494" xr:uid="{1512D6CF-B191-45E0-8203-0EE378BD674D}"/>
    <cellStyle name="Normal 8 2 5 3" xfId="1378" xr:uid="{00000000-0005-0000-0000-0000101D0000}"/>
    <cellStyle name="Normal 8 2 5 3 2" xfId="3608" xr:uid="{00000000-0005-0000-0000-0000111D0000}"/>
    <cellStyle name="Normal 8 2 5 3 2 2" xfId="7831" xr:uid="{00000000-0005-0000-0000-0000121D0000}"/>
    <cellStyle name="Normal 8 2 5 3 2 2 2" xfId="16270" xr:uid="{B183699C-2652-4E00-9704-ADEFCC189E73}"/>
    <cellStyle name="Normal 8 2 5 3 2 3" xfId="12052" xr:uid="{6495AF92-74F8-4377-9D14-54A06A6A85B9}"/>
    <cellStyle name="Normal 8 2 5 3 3" xfId="5686" xr:uid="{00000000-0005-0000-0000-0000131D0000}"/>
    <cellStyle name="Normal 8 2 5 3 3 2" xfId="14125" xr:uid="{AA7FD123-B58B-4BDE-86C9-3CEE9A4E8C58}"/>
    <cellStyle name="Normal 8 2 5 3 4" xfId="9907" xr:uid="{B10C987A-F976-476F-9F18-E5BF2F78EAC7}"/>
    <cellStyle name="Normal 8 2 5 4" xfId="1791" xr:uid="{00000000-0005-0000-0000-0000141D0000}"/>
    <cellStyle name="Normal 8 2 5 4 2" xfId="4021" xr:uid="{00000000-0005-0000-0000-0000151D0000}"/>
    <cellStyle name="Normal 8 2 5 4 2 2" xfId="8244" xr:uid="{00000000-0005-0000-0000-0000161D0000}"/>
    <cellStyle name="Normal 8 2 5 4 2 2 2" xfId="16683" xr:uid="{F040864D-562E-444B-9329-48B0AECEBBA8}"/>
    <cellStyle name="Normal 8 2 5 4 2 3" xfId="12465" xr:uid="{F3C5AFDC-157E-4724-93CD-09B640859CB1}"/>
    <cellStyle name="Normal 8 2 5 4 3" xfId="6099" xr:uid="{00000000-0005-0000-0000-0000171D0000}"/>
    <cellStyle name="Normal 8 2 5 4 3 2" xfId="14538" xr:uid="{D77F350A-5483-488F-9B6F-CEBA91AFA3CB}"/>
    <cellStyle name="Normal 8 2 5 4 4" xfId="10320" xr:uid="{B91DC5C4-0C51-4769-B912-69A97E1CD379}"/>
    <cellStyle name="Normal 8 2 5 5" xfId="2205" xr:uid="{00000000-0005-0000-0000-0000181D0000}"/>
    <cellStyle name="Normal 8 2 5 5 2" xfId="4434" xr:uid="{00000000-0005-0000-0000-0000191D0000}"/>
    <cellStyle name="Normal 8 2 5 5 2 2" xfId="8657" xr:uid="{00000000-0005-0000-0000-00001A1D0000}"/>
    <cellStyle name="Normal 8 2 5 5 2 2 2" xfId="17096" xr:uid="{DFC6C0BD-72F9-498A-A713-6EA9EFF8912F}"/>
    <cellStyle name="Normal 8 2 5 5 2 3" xfId="12878" xr:uid="{1D8B6C7E-9F45-4BAA-B634-F62A3CA369E3}"/>
    <cellStyle name="Normal 8 2 5 5 3" xfId="6512" xr:uid="{00000000-0005-0000-0000-00001B1D0000}"/>
    <cellStyle name="Normal 8 2 5 5 3 2" xfId="14951" xr:uid="{EE9C173A-4949-4372-93A6-7CA97E149607}"/>
    <cellStyle name="Normal 8 2 5 5 4" xfId="10733" xr:uid="{3BCD9E98-7CC5-4924-A857-1286DB45FC93}"/>
    <cellStyle name="Normal 8 2 5 6" xfId="2641" xr:uid="{00000000-0005-0000-0000-00001C1D0000}"/>
    <cellStyle name="Normal 8 2 5 6 2" xfId="6925" xr:uid="{00000000-0005-0000-0000-00001D1D0000}"/>
    <cellStyle name="Normal 8 2 5 6 2 2" xfId="15364" xr:uid="{E65B3C6F-4CAA-4F7A-98B7-07276478F6BC}"/>
    <cellStyle name="Normal 8 2 5 6 3" xfId="11146" xr:uid="{17D69D3C-542C-4DEF-8C2C-D65C368E359D}"/>
    <cellStyle name="Normal 8 2 5 7" xfId="4860" xr:uid="{00000000-0005-0000-0000-00001E1D0000}"/>
    <cellStyle name="Normal 8 2 5 7 2" xfId="13299" xr:uid="{F0181490-FD8C-46A6-8D74-81BACF9DB311}"/>
    <cellStyle name="Normal 8 2 5 8" xfId="9081" xr:uid="{8069AA0B-5F57-43CA-B511-A7EB9313C3A3}"/>
    <cellStyle name="Normal 8 2 6" xfId="946" xr:uid="{00000000-0005-0000-0000-00001F1D0000}"/>
    <cellStyle name="Normal 8 2 6 2" xfId="3180" xr:uid="{00000000-0005-0000-0000-0000201D0000}"/>
    <cellStyle name="Normal 8 2 6 2 2" xfId="7403" xr:uid="{00000000-0005-0000-0000-0000211D0000}"/>
    <cellStyle name="Normal 8 2 6 2 2 2" xfId="15842" xr:uid="{62D507A1-1E63-4B5A-99E7-E42330E889F9}"/>
    <cellStyle name="Normal 8 2 6 2 3" xfId="11624" xr:uid="{400DE165-789B-4DD4-AF1C-9E5F2F7FB101}"/>
    <cellStyle name="Normal 8 2 6 3" xfId="5258" xr:uid="{00000000-0005-0000-0000-0000221D0000}"/>
    <cellStyle name="Normal 8 2 6 3 2" xfId="13697" xr:uid="{EDCB46B1-AA61-4097-84CB-145A74BBEF80}"/>
    <cellStyle name="Normal 8 2 6 4" xfId="9479" xr:uid="{099B2247-9C82-47CF-B306-6E6EF0C65D4A}"/>
    <cellStyle name="Normal 8 2 7" xfId="1363" xr:uid="{00000000-0005-0000-0000-0000231D0000}"/>
    <cellStyle name="Normal 8 2 7 2" xfId="3593" xr:uid="{00000000-0005-0000-0000-0000241D0000}"/>
    <cellStyle name="Normal 8 2 7 2 2" xfId="7816" xr:uid="{00000000-0005-0000-0000-0000251D0000}"/>
    <cellStyle name="Normal 8 2 7 2 2 2" xfId="16255" xr:uid="{4D9B572F-AD9F-47DF-817C-86D81290A5DF}"/>
    <cellStyle name="Normal 8 2 7 2 3" xfId="12037" xr:uid="{18DB17D8-A6DB-4653-AC52-0BE11EE4711B}"/>
    <cellStyle name="Normal 8 2 7 3" xfId="5671" xr:uid="{00000000-0005-0000-0000-0000261D0000}"/>
    <cellStyle name="Normal 8 2 7 3 2" xfId="14110" xr:uid="{900260C4-7810-401D-A931-745D54AE651F}"/>
    <cellStyle name="Normal 8 2 7 4" xfId="9892" xr:uid="{A4A69637-C013-48D6-A7AE-DC6D2FBB7D83}"/>
    <cellStyle name="Normal 8 2 8" xfId="1776" xr:uid="{00000000-0005-0000-0000-0000271D0000}"/>
    <cellStyle name="Normal 8 2 8 2" xfId="4006" xr:uid="{00000000-0005-0000-0000-0000281D0000}"/>
    <cellStyle name="Normal 8 2 8 2 2" xfId="8229" xr:uid="{00000000-0005-0000-0000-0000291D0000}"/>
    <cellStyle name="Normal 8 2 8 2 2 2" xfId="16668" xr:uid="{BA0479B0-E6FA-4413-8B01-CA6B0A50EEBF}"/>
    <cellStyle name="Normal 8 2 8 2 3" xfId="12450" xr:uid="{A497A0B5-C8FB-4722-BBEF-1E061AD1F3F9}"/>
    <cellStyle name="Normal 8 2 8 3" xfId="6084" xr:uid="{00000000-0005-0000-0000-00002A1D0000}"/>
    <cellStyle name="Normal 8 2 8 3 2" xfId="14523" xr:uid="{E98361C9-6CC0-48F6-8404-C854AEE72960}"/>
    <cellStyle name="Normal 8 2 8 4" xfId="10305" xr:uid="{86D67508-3724-43B5-B0FB-10905E2F66B8}"/>
    <cellStyle name="Normal 8 2 9" xfId="2190" xr:uid="{00000000-0005-0000-0000-00002B1D0000}"/>
    <cellStyle name="Normal 8 2 9 2" xfId="4419" xr:uid="{00000000-0005-0000-0000-00002C1D0000}"/>
    <cellStyle name="Normal 8 2 9 2 2" xfId="8642" xr:uid="{00000000-0005-0000-0000-00002D1D0000}"/>
    <cellStyle name="Normal 8 2 9 2 2 2" xfId="17081" xr:uid="{91604B17-6826-4E97-B78D-347C0C5484AE}"/>
    <cellStyle name="Normal 8 2 9 2 3" xfId="12863" xr:uid="{3A2F0083-1301-41C7-BC65-B3B16557AAF5}"/>
    <cellStyle name="Normal 8 2 9 3" xfId="6497" xr:uid="{00000000-0005-0000-0000-00002E1D0000}"/>
    <cellStyle name="Normal 8 2 9 3 2" xfId="14936" xr:uid="{B1356DD2-B3C0-41FC-84F9-8DBBBCBB4C36}"/>
    <cellStyle name="Normal 8 2 9 4" xfId="10718" xr:uid="{17C75EBE-800B-4DF5-8FE2-769D60F943AB}"/>
    <cellStyle name="Normal 8 3" xfId="495" xr:uid="{00000000-0005-0000-0000-00002F1D0000}"/>
    <cellStyle name="Normal 8 3 10" xfId="4861" xr:uid="{00000000-0005-0000-0000-0000301D0000}"/>
    <cellStyle name="Normal 8 3 10 2" xfId="13300" xr:uid="{340E2B9C-4016-41A2-A86B-536531587C44}"/>
    <cellStyle name="Normal 8 3 11" xfId="9082" xr:uid="{B97F2B7C-BE09-46F3-AEE5-C9F4F3B69042}"/>
    <cellStyle name="Normal 8 3 2" xfId="496" xr:uid="{00000000-0005-0000-0000-0000311D0000}"/>
    <cellStyle name="Normal 8 3 2 10" xfId="9083" xr:uid="{9C384E64-439E-4E01-A48B-DB2810C5D345}"/>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5861" xr:uid="{5903446C-5CC6-41DD-871A-AA4773DF42E2}"/>
    <cellStyle name="Normal 8 3 2 2 2 2 2 3" xfId="11643" xr:uid="{9E83D565-1345-4473-890F-EDC70CCBADB0}"/>
    <cellStyle name="Normal 8 3 2 2 2 2 3" xfId="5277" xr:uid="{00000000-0005-0000-0000-0000371D0000}"/>
    <cellStyle name="Normal 8 3 2 2 2 2 3 2" xfId="13716" xr:uid="{220713D2-A31F-479E-8105-72DD271E30DD}"/>
    <cellStyle name="Normal 8 3 2 2 2 2 4" xfId="9498" xr:uid="{6F8B0DD2-D6BA-45A5-9C1A-AF7C4FF37E54}"/>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16274" xr:uid="{7256F01C-CA46-46D0-8F4B-6C48712204E1}"/>
    <cellStyle name="Normal 8 3 2 2 2 3 2 3" xfId="12056" xr:uid="{8993689C-38BD-4040-B76C-D952405BFB9B}"/>
    <cellStyle name="Normal 8 3 2 2 2 3 3" xfId="5690" xr:uid="{00000000-0005-0000-0000-00003B1D0000}"/>
    <cellStyle name="Normal 8 3 2 2 2 3 3 2" xfId="14129" xr:uid="{769B8D25-C9B8-4B13-A71C-8F05E0C85326}"/>
    <cellStyle name="Normal 8 3 2 2 2 3 4" xfId="9911" xr:uid="{991FEA15-B810-4E42-81FA-13D95C20D132}"/>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16687" xr:uid="{934E5700-7C24-410A-8AE3-BC87326C2789}"/>
    <cellStyle name="Normal 8 3 2 2 2 4 2 3" xfId="12469" xr:uid="{648BD192-4C12-471F-A1A1-461528B737D2}"/>
    <cellStyle name="Normal 8 3 2 2 2 4 3" xfId="6103" xr:uid="{00000000-0005-0000-0000-00003F1D0000}"/>
    <cellStyle name="Normal 8 3 2 2 2 4 3 2" xfId="14542" xr:uid="{337166D9-EED6-4179-B0A7-1E110DB1FB39}"/>
    <cellStyle name="Normal 8 3 2 2 2 4 4" xfId="10324" xr:uid="{E3EE11A3-833A-4EF0-837E-12854CD4DF8A}"/>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17100" xr:uid="{D7E13789-70B2-4C54-93A6-A975F98E75DF}"/>
    <cellStyle name="Normal 8 3 2 2 2 5 2 3" xfId="12882" xr:uid="{425EEA53-743B-4AEC-B2BE-EA54DC28CC8F}"/>
    <cellStyle name="Normal 8 3 2 2 2 5 3" xfId="6516" xr:uid="{00000000-0005-0000-0000-0000431D0000}"/>
    <cellStyle name="Normal 8 3 2 2 2 5 3 2" xfId="14955" xr:uid="{B6080F89-A8E2-4F7F-B830-2377D328D78F}"/>
    <cellStyle name="Normal 8 3 2 2 2 5 4" xfId="10737" xr:uid="{DA6EA659-69AE-49D4-A01F-81730233BC45}"/>
    <cellStyle name="Normal 8 3 2 2 2 6" xfId="2645" xr:uid="{00000000-0005-0000-0000-0000441D0000}"/>
    <cellStyle name="Normal 8 3 2 2 2 6 2" xfId="6929" xr:uid="{00000000-0005-0000-0000-0000451D0000}"/>
    <cellStyle name="Normal 8 3 2 2 2 6 2 2" xfId="15368" xr:uid="{71835E56-F7D1-421D-B263-2CE3684148F1}"/>
    <cellStyle name="Normal 8 3 2 2 2 6 3" xfId="11150" xr:uid="{4006DA59-31E5-4B0E-894E-B37ECC937FE3}"/>
    <cellStyle name="Normal 8 3 2 2 2 7" xfId="4864" xr:uid="{00000000-0005-0000-0000-0000461D0000}"/>
    <cellStyle name="Normal 8 3 2 2 2 7 2" xfId="13303" xr:uid="{64F4AD43-0880-4C77-A849-A92E2A57FC51}"/>
    <cellStyle name="Normal 8 3 2 2 2 8" xfId="9085" xr:uid="{54DDBF83-37DB-4799-9228-186C7E3F7E01}"/>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5860" xr:uid="{9CCED76B-7B78-42E1-A7AB-CD86B9736C52}"/>
    <cellStyle name="Normal 8 3 2 2 3 2 3" xfId="11642" xr:uid="{A10F8EFB-901C-4194-90CF-93008205012F}"/>
    <cellStyle name="Normal 8 3 2 2 3 3" xfId="5276" xr:uid="{00000000-0005-0000-0000-00004A1D0000}"/>
    <cellStyle name="Normal 8 3 2 2 3 3 2" xfId="13715" xr:uid="{BA9F1441-3D33-4A5F-99E3-DC0ECBF50B84}"/>
    <cellStyle name="Normal 8 3 2 2 3 4" xfId="9497" xr:uid="{A6652984-8690-468E-BD4A-0BC926F8C39A}"/>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16273" xr:uid="{56243E6E-7562-4B96-A7A2-DD7CB2110C65}"/>
    <cellStyle name="Normal 8 3 2 2 4 2 3" xfId="12055" xr:uid="{2CDFE209-4CF6-4891-BB28-7BD8B7F44042}"/>
    <cellStyle name="Normal 8 3 2 2 4 3" xfId="5689" xr:uid="{00000000-0005-0000-0000-00004E1D0000}"/>
    <cellStyle name="Normal 8 3 2 2 4 3 2" xfId="14128" xr:uid="{E2954B3E-71E8-41A1-88C9-7D1B287689A3}"/>
    <cellStyle name="Normal 8 3 2 2 4 4" xfId="9910" xr:uid="{C01B60E3-C027-4919-B603-578A2FB385CA}"/>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16686" xr:uid="{7F8DBEFE-2133-4385-B97F-42489949682A}"/>
    <cellStyle name="Normal 8 3 2 2 5 2 3" xfId="12468" xr:uid="{96CE3A01-7293-4146-A954-DBD73C294B06}"/>
    <cellStyle name="Normal 8 3 2 2 5 3" xfId="6102" xr:uid="{00000000-0005-0000-0000-0000521D0000}"/>
    <cellStyle name="Normal 8 3 2 2 5 3 2" xfId="14541" xr:uid="{DCCAEED4-9DBC-44E7-8420-44B5BAF21D9D}"/>
    <cellStyle name="Normal 8 3 2 2 5 4" xfId="10323" xr:uid="{6BCFB750-E660-4A91-AF2E-FBC2EE3181EB}"/>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17099" xr:uid="{810CEF8E-FCCE-43ED-AAAA-6481828B232F}"/>
    <cellStyle name="Normal 8 3 2 2 6 2 3" xfId="12881" xr:uid="{FB0E216C-3536-40FA-AEBD-813C4D014354}"/>
    <cellStyle name="Normal 8 3 2 2 6 3" xfId="6515" xr:uid="{00000000-0005-0000-0000-0000561D0000}"/>
    <cellStyle name="Normal 8 3 2 2 6 3 2" xfId="14954" xr:uid="{25399A87-ADEB-4F7E-A191-9990444ABD4D}"/>
    <cellStyle name="Normal 8 3 2 2 6 4" xfId="10736" xr:uid="{C02DC7C3-AEAF-44B6-8B73-39775FBE7D3A}"/>
    <cellStyle name="Normal 8 3 2 2 7" xfId="2644" xr:uid="{00000000-0005-0000-0000-0000571D0000}"/>
    <cellStyle name="Normal 8 3 2 2 7 2" xfId="6928" xr:uid="{00000000-0005-0000-0000-0000581D0000}"/>
    <cellStyle name="Normal 8 3 2 2 7 2 2" xfId="15367" xr:uid="{121B2F8C-A1E5-4E34-AC19-5032F331CA86}"/>
    <cellStyle name="Normal 8 3 2 2 7 3" xfId="11149" xr:uid="{0EB67478-519E-49B1-AAFC-0B1C28C71F46}"/>
    <cellStyle name="Normal 8 3 2 2 8" xfId="4863" xr:uid="{00000000-0005-0000-0000-0000591D0000}"/>
    <cellStyle name="Normal 8 3 2 2 8 2" xfId="13302" xr:uid="{4EA6DD53-1FCB-4667-9EB4-1247DA7F5BBC}"/>
    <cellStyle name="Normal 8 3 2 2 9" xfId="9084" xr:uid="{95869985-D0C9-4B36-9E41-C71C5F518E5F}"/>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5862" xr:uid="{A8781C53-B7BB-42A9-AD47-27CC0B8A12E0}"/>
    <cellStyle name="Normal 8 3 2 3 2 2 3" xfId="11644" xr:uid="{66EF84CA-34F0-4053-B679-5B79E4619D30}"/>
    <cellStyle name="Normal 8 3 2 3 2 3" xfId="5278" xr:uid="{00000000-0005-0000-0000-00005E1D0000}"/>
    <cellStyle name="Normal 8 3 2 3 2 3 2" xfId="13717" xr:uid="{CCAB8188-C0F0-491E-9D49-F35FCA2916FB}"/>
    <cellStyle name="Normal 8 3 2 3 2 4" xfId="9499" xr:uid="{323C7350-8191-4DA1-AAAD-45747459292C}"/>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16275" xr:uid="{2CE8E295-9EA6-4B7B-A3B1-99CD0DF188D7}"/>
    <cellStyle name="Normal 8 3 2 3 3 2 3" xfId="12057" xr:uid="{05CDC1CD-1569-4B94-BE3B-CFED26DDEE74}"/>
    <cellStyle name="Normal 8 3 2 3 3 3" xfId="5691" xr:uid="{00000000-0005-0000-0000-0000621D0000}"/>
    <cellStyle name="Normal 8 3 2 3 3 3 2" xfId="14130" xr:uid="{F4228E02-D665-4406-B21E-69C0568F03E2}"/>
    <cellStyle name="Normal 8 3 2 3 3 4" xfId="9912" xr:uid="{A133DE5B-017C-4CB8-AAE9-A4DEF237088C}"/>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16688" xr:uid="{78CBF19E-1973-4566-9D3A-618A3FC5A118}"/>
    <cellStyle name="Normal 8 3 2 3 4 2 3" xfId="12470" xr:uid="{A7745A00-1AFB-42AE-AE16-683E9557065F}"/>
    <cellStyle name="Normal 8 3 2 3 4 3" xfId="6104" xr:uid="{00000000-0005-0000-0000-0000661D0000}"/>
    <cellStyle name="Normal 8 3 2 3 4 3 2" xfId="14543" xr:uid="{AC93561A-FBBB-4A9C-9B70-0A60B2D08405}"/>
    <cellStyle name="Normal 8 3 2 3 4 4" xfId="10325" xr:uid="{5D12B8B6-D3FE-48A8-994F-CE5881148BAF}"/>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17101" xr:uid="{29B54BA2-2464-4AA3-9BEF-6260C22FE125}"/>
    <cellStyle name="Normal 8 3 2 3 5 2 3" xfId="12883" xr:uid="{2D174F8A-10BF-417B-865E-CF31A180EB76}"/>
    <cellStyle name="Normal 8 3 2 3 5 3" xfId="6517" xr:uid="{00000000-0005-0000-0000-00006A1D0000}"/>
    <cellStyle name="Normal 8 3 2 3 5 3 2" xfId="14956" xr:uid="{5EA30F0F-3C6B-45B1-800F-5BE09380D3DB}"/>
    <cellStyle name="Normal 8 3 2 3 5 4" xfId="10738" xr:uid="{D9DA9BA4-FEC3-4015-9F2F-54D5BDD4036D}"/>
    <cellStyle name="Normal 8 3 2 3 6" xfId="2646" xr:uid="{00000000-0005-0000-0000-00006B1D0000}"/>
    <cellStyle name="Normal 8 3 2 3 6 2" xfId="6930" xr:uid="{00000000-0005-0000-0000-00006C1D0000}"/>
    <cellStyle name="Normal 8 3 2 3 6 2 2" xfId="15369" xr:uid="{2D7260B2-AD5E-4BCC-B20A-C64E89213C9E}"/>
    <cellStyle name="Normal 8 3 2 3 6 3" xfId="11151" xr:uid="{977B639E-67DF-475D-BC3A-FF7E6A6ACB1C}"/>
    <cellStyle name="Normal 8 3 2 3 7" xfId="4865" xr:uid="{00000000-0005-0000-0000-00006D1D0000}"/>
    <cellStyle name="Normal 8 3 2 3 7 2" xfId="13304" xr:uid="{AB1708E3-70A2-4C39-953B-2ADE28EC7622}"/>
    <cellStyle name="Normal 8 3 2 3 8" xfId="9086" xr:uid="{CBC716D7-5E6F-4CBE-A00F-4F1BFDAB4050}"/>
    <cellStyle name="Normal 8 3 2 4" xfId="963" xr:uid="{00000000-0005-0000-0000-00006E1D0000}"/>
    <cellStyle name="Normal 8 3 2 4 2" xfId="3197" xr:uid="{00000000-0005-0000-0000-00006F1D0000}"/>
    <cellStyle name="Normal 8 3 2 4 2 2" xfId="7420" xr:uid="{00000000-0005-0000-0000-0000701D0000}"/>
    <cellStyle name="Normal 8 3 2 4 2 2 2" xfId="15859" xr:uid="{44D21BC6-643B-4951-8C45-4AC740F62026}"/>
    <cellStyle name="Normal 8 3 2 4 2 3" xfId="11641" xr:uid="{06B4DB4A-F25E-4726-91B6-A25A4D0ABAFD}"/>
    <cellStyle name="Normal 8 3 2 4 3" xfId="5275" xr:uid="{00000000-0005-0000-0000-0000711D0000}"/>
    <cellStyle name="Normal 8 3 2 4 3 2" xfId="13714" xr:uid="{2870C737-AF04-42C3-9255-D6CC536C275A}"/>
    <cellStyle name="Normal 8 3 2 4 4" xfId="9496" xr:uid="{7DC2D272-B990-4CEA-85AC-8F6B690862DF}"/>
    <cellStyle name="Normal 8 3 2 5" xfId="1380" xr:uid="{00000000-0005-0000-0000-0000721D0000}"/>
    <cellStyle name="Normal 8 3 2 5 2" xfId="3610" xr:uid="{00000000-0005-0000-0000-0000731D0000}"/>
    <cellStyle name="Normal 8 3 2 5 2 2" xfId="7833" xr:uid="{00000000-0005-0000-0000-0000741D0000}"/>
    <cellStyle name="Normal 8 3 2 5 2 2 2" xfId="16272" xr:uid="{B35C8B2A-0AA7-42E1-8EEB-E8347F770C54}"/>
    <cellStyle name="Normal 8 3 2 5 2 3" xfId="12054" xr:uid="{B9EF67C6-75B8-428A-B449-2FD37AB7618A}"/>
    <cellStyle name="Normal 8 3 2 5 3" xfId="5688" xr:uid="{00000000-0005-0000-0000-0000751D0000}"/>
    <cellStyle name="Normal 8 3 2 5 3 2" xfId="14127" xr:uid="{96A4F8EA-5EB3-40C9-9CFE-EEDAEF4BB023}"/>
    <cellStyle name="Normal 8 3 2 5 4" xfId="9909" xr:uid="{7665779A-5178-4413-96EB-42C6EAF8A593}"/>
    <cellStyle name="Normal 8 3 2 6" xfId="1793" xr:uid="{00000000-0005-0000-0000-0000761D0000}"/>
    <cellStyle name="Normal 8 3 2 6 2" xfId="4023" xr:uid="{00000000-0005-0000-0000-0000771D0000}"/>
    <cellStyle name="Normal 8 3 2 6 2 2" xfId="8246" xr:uid="{00000000-0005-0000-0000-0000781D0000}"/>
    <cellStyle name="Normal 8 3 2 6 2 2 2" xfId="16685" xr:uid="{6E1D9D30-8CA6-4E0F-8443-FE66FC8BBC95}"/>
    <cellStyle name="Normal 8 3 2 6 2 3" xfId="12467" xr:uid="{3B983D37-8DC0-4A02-AAB8-2F153E75E45B}"/>
    <cellStyle name="Normal 8 3 2 6 3" xfId="6101" xr:uid="{00000000-0005-0000-0000-0000791D0000}"/>
    <cellStyle name="Normal 8 3 2 6 3 2" xfId="14540" xr:uid="{99BE9F5E-0D88-4C30-A647-AF34572DB372}"/>
    <cellStyle name="Normal 8 3 2 6 4" xfId="10322" xr:uid="{C41727CA-3510-470B-A132-A3695D54DE0D}"/>
    <cellStyle name="Normal 8 3 2 7" xfId="2207" xr:uid="{00000000-0005-0000-0000-00007A1D0000}"/>
    <cellStyle name="Normal 8 3 2 7 2" xfId="4436" xr:uid="{00000000-0005-0000-0000-00007B1D0000}"/>
    <cellStyle name="Normal 8 3 2 7 2 2" xfId="8659" xr:uid="{00000000-0005-0000-0000-00007C1D0000}"/>
    <cellStyle name="Normal 8 3 2 7 2 2 2" xfId="17098" xr:uid="{D0C3350C-0EEE-4CE2-A8F0-66B8B23442B1}"/>
    <cellStyle name="Normal 8 3 2 7 2 3" xfId="12880" xr:uid="{571D2900-3107-4F0F-9E0E-1B6970AB67DA}"/>
    <cellStyle name="Normal 8 3 2 7 3" xfId="6514" xr:uid="{00000000-0005-0000-0000-00007D1D0000}"/>
    <cellStyle name="Normal 8 3 2 7 3 2" xfId="14953" xr:uid="{78CF2B4E-63D6-4ABB-AE70-EF198A0616CB}"/>
    <cellStyle name="Normal 8 3 2 7 4" xfId="10735" xr:uid="{2B64D291-D64E-4E20-AB43-3A80FB56C618}"/>
    <cellStyle name="Normal 8 3 2 8" xfId="2643" xr:uid="{00000000-0005-0000-0000-00007E1D0000}"/>
    <cellStyle name="Normal 8 3 2 8 2" xfId="6927" xr:uid="{00000000-0005-0000-0000-00007F1D0000}"/>
    <cellStyle name="Normal 8 3 2 8 2 2" xfId="15366" xr:uid="{BE14DD1A-E8C1-4F8C-8D96-CCBBFA449A53}"/>
    <cellStyle name="Normal 8 3 2 8 3" xfId="11148" xr:uid="{DA7C3484-6B51-4F8C-8845-BFA312F691A4}"/>
    <cellStyle name="Normal 8 3 2 9" xfId="4862" xr:uid="{00000000-0005-0000-0000-0000801D0000}"/>
    <cellStyle name="Normal 8 3 2 9 2" xfId="13301" xr:uid="{AAB0934A-8AD1-4A14-9A42-238341BE26E8}"/>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5864" xr:uid="{D9491E91-6DF1-4AAC-B786-C1E92C83525E}"/>
    <cellStyle name="Normal 8 3 3 2 2 2 3" xfId="11646" xr:uid="{D8AC5F45-FF64-46E5-B8FC-FFA9077DCC34}"/>
    <cellStyle name="Normal 8 3 3 2 2 3" xfId="5280" xr:uid="{00000000-0005-0000-0000-0000861D0000}"/>
    <cellStyle name="Normal 8 3 3 2 2 3 2" xfId="13719" xr:uid="{A0EB215F-3166-4AFC-AACE-49F234E8FEAB}"/>
    <cellStyle name="Normal 8 3 3 2 2 4" xfId="9501" xr:uid="{289CAEBD-5CF2-406A-87DE-2D4796B8156A}"/>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16277" xr:uid="{4340F78D-3FE9-48ED-A8AE-57DC6BB214AA}"/>
    <cellStyle name="Normal 8 3 3 2 3 2 3" xfId="12059" xr:uid="{F7B9F740-5859-4EB4-B86B-EE503F6EB1F6}"/>
    <cellStyle name="Normal 8 3 3 2 3 3" xfId="5693" xr:uid="{00000000-0005-0000-0000-00008A1D0000}"/>
    <cellStyle name="Normal 8 3 3 2 3 3 2" xfId="14132" xr:uid="{2611794A-0315-4A6D-830B-6B5BBD7BDF57}"/>
    <cellStyle name="Normal 8 3 3 2 3 4" xfId="9914" xr:uid="{F89A2687-4C96-4C85-9F31-345618F2FFEE}"/>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16690" xr:uid="{C28CCD4A-D8CB-4285-8323-1B4EACD8D04D}"/>
    <cellStyle name="Normal 8 3 3 2 4 2 3" xfId="12472" xr:uid="{BF417E72-770C-4B11-A5D9-503A327C4231}"/>
    <cellStyle name="Normal 8 3 3 2 4 3" xfId="6106" xr:uid="{00000000-0005-0000-0000-00008E1D0000}"/>
    <cellStyle name="Normal 8 3 3 2 4 3 2" xfId="14545" xr:uid="{1E4A5615-3955-4140-B503-1BE7FB1F3CDE}"/>
    <cellStyle name="Normal 8 3 3 2 4 4" xfId="10327" xr:uid="{4A1E1372-91CF-4D17-A62D-C2CBD8308B08}"/>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17103" xr:uid="{6886BC7C-09B1-4451-A785-AE3459014457}"/>
    <cellStyle name="Normal 8 3 3 2 5 2 3" xfId="12885" xr:uid="{7752AAF1-5F2F-4218-A48D-7D6D1AC837F0}"/>
    <cellStyle name="Normal 8 3 3 2 5 3" xfId="6519" xr:uid="{00000000-0005-0000-0000-0000921D0000}"/>
    <cellStyle name="Normal 8 3 3 2 5 3 2" xfId="14958" xr:uid="{A7139644-6BD0-46C2-884F-5E194EE66E97}"/>
    <cellStyle name="Normal 8 3 3 2 5 4" xfId="10740" xr:uid="{70BD7DBE-879A-4F08-A505-530D8D5C6C13}"/>
    <cellStyle name="Normal 8 3 3 2 6" xfId="2648" xr:uid="{00000000-0005-0000-0000-0000931D0000}"/>
    <cellStyle name="Normal 8 3 3 2 6 2" xfId="6932" xr:uid="{00000000-0005-0000-0000-0000941D0000}"/>
    <cellStyle name="Normal 8 3 3 2 6 2 2" xfId="15371" xr:uid="{B63B20C5-AD44-4CB7-B035-1007F5FC06BB}"/>
    <cellStyle name="Normal 8 3 3 2 6 3" xfId="11153" xr:uid="{452569F8-38D9-4784-9A22-E7BF002777A9}"/>
    <cellStyle name="Normal 8 3 3 2 7" xfId="4867" xr:uid="{00000000-0005-0000-0000-0000951D0000}"/>
    <cellStyle name="Normal 8 3 3 2 7 2" xfId="13306" xr:uid="{2AE4E673-EE0B-4C4B-9A1D-9642DC2289F2}"/>
    <cellStyle name="Normal 8 3 3 2 8" xfId="9088" xr:uid="{174FBC8A-8DA7-4F0D-A88D-0B54FC8C7385}"/>
    <cellStyle name="Normal 8 3 3 3" xfId="967" xr:uid="{00000000-0005-0000-0000-0000961D0000}"/>
    <cellStyle name="Normal 8 3 3 3 2" xfId="3201" xr:uid="{00000000-0005-0000-0000-0000971D0000}"/>
    <cellStyle name="Normal 8 3 3 3 2 2" xfId="7424" xr:uid="{00000000-0005-0000-0000-0000981D0000}"/>
    <cellStyle name="Normal 8 3 3 3 2 2 2" xfId="15863" xr:uid="{5D59F70A-F60D-46C6-93CA-46856DB6C002}"/>
    <cellStyle name="Normal 8 3 3 3 2 3" xfId="11645" xr:uid="{AFBAF78F-A8D8-4DD7-80EF-A01E6B5ECD3E}"/>
    <cellStyle name="Normal 8 3 3 3 3" xfId="5279" xr:uid="{00000000-0005-0000-0000-0000991D0000}"/>
    <cellStyle name="Normal 8 3 3 3 3 2" xfId="13718" xr:uid="{F007FBA3-4762-4BE4-A071-CE77826E5028}"/>
    <cellStyle name="Normal 8 3 3 3 4" xfId="9500" xr:uid="{16984203-4102-4013-B2DE-2530B36DEA98}"/>
    <cellStyle name="Normal 8 3 3 4" xfId="1384" xr:uid="{00000000-0005-0000-0000-00009A1D0000}"/>
    <cellStyle name="Normal 8 3 3 4 2" xfId="3614" xr:uid="{00000000-0005-0000-0000-00009B1D0000}"/>
    <cellStyle name="Normal 8 3 3 4 2 2" xfId="7837" xr:uid="{00000000-0005-0000-0000-00009C1D0000}"/>
    <cellStyle name="Normal 8 3 3 4 2 2 2" xfId="16276" xr:uid="{03D1105E-DD7E-4806-98F3-D5F7C42D4CDD}"/>
    <cellStyle name="Normal 8 3 3 4 2 3" xfId="12058" xr:uid="{105442DC-CA19-4169-B5BD-AB435CE552FE}"/>
    <cellStyle name="Normal 8 3 3 4 3" xfId="5692" xr:uid="{00000000-0005-0000-0000-00009D1D0000}"/>
    <cellStyle name="Normal 8 3 3 4 3 2" xfId="14131" xr:uid="{A869FF6C-0504-4B23-BFEC-7EE9AFCA84C9}"/>
    <cellStyle name="Normal 8 3 3 4 4" xfId="9913" xr:uid="{533C1918-FF7B-49AE-A95D-517CC62C3E86}"/>
    <cellStyle name="Normal 8 3 3 5" xfId="1797" xr:uid="{00000000-0005-0000-0000-00009E1D0000}"/>
    <cellStyle name="Normal 8 3 3 5 2" xfId="4027" xr:uid="{00000000-0005-0000-0000-00009F1D0000}"/>
    <cellStyle name="Normal 8 3 3 5 2 2" xfId="8250" xr:uid="{00000000-0005-0000-0000-0000A01D0000}"/>
    <cellStyle name="Normal 8 3 3 5 2 2 2" xfId="16689" xr:uid="{1EA6776B-0F07-465D-B3C5-615E2F6FB11B}"/>
    <cellStyle name="Normal 8 3 3 5 2 3" xfId="12471" xr:uid="{3C6FF29F-CF02-4E0A-8215-21E41484F370}"/>
    <cellStyle name="Normal 8 3 3 5 3" xfId="6105" xr:uid="{00000000-0005-0000-0000-0000A11D0000}"/>
    <cellStyle name="Normal 8 3 3 5 3 2" xfId="14544" xr:uid="{8111F422-D340-4C8A-AB7B-F1E14CCA9D4E}"/>
    <cellStyle name="Normal 8 3 3 5 4" xfId="10326" xr:uid="{408D732F-5668-41C2-A18A-83F07A79A2AD}"/>
    <cellStyle name="Normal 8 3 3 6" xfId="2211" xr:uid="{00000000-0005-0000-0000-0000A21D0000}"/>
    <cellStyle name="Normal 8 3 3 6 2" xfId="4440" xr:uid="{00000000-0005-0000-0000-0000A31D0000}"/>
    <cellStyle name="Normal 8 3 3 6 2 2" xfId="8663" xr:uid="{00000000-0005-0000-0000-0000A41D0000}"/>
    <cellStyle name="Normal 8 3 3 6 2 2 2" xfId="17102" xr:uid="{DB4F3EA2-9737-4B67-A6FC-114E8B067201}"/>
    <cellStyle name="Normal 8 3 3 6 2 3" xfId="12884" xr:uid="{91BD3664-7412-4DB8-83D1-DAC17F909C4E}"/>
    <cellStyle name="Normal 8 3 3 6 3" xfId="6518" xr:uid="{00000000-0005-0000-0000-0000A51D0000}"/>
    <cellStyle name="Normal 8 3 3 6 3 2" xfId="14957" xr:uid="{2D8E22E6-B306-4241-8030-AAF649529BBB}"/>
    <cellStyle name="Normal 8 3 3 6 4" xfId="10739" xr:uid="{8EA3FA9F-30DB-44F0-AA3E-7B9CFC359892}"/>
    <cellStyle name="Normal 8 3 3 7" xfId="2647" xr:uid="{00000000-0005-0000-0000-0000A61D0000}"/>
    <cellStyle name="Normal 8 3 3 7 2" xfId="6931" xr:uid="{00000000-0005-0000-0000-0000A71D0000}"/>
    <cellStyle name="Normal 8 3 3 7 2 2" xfId="15370" xr:uid="{F403646C-54CA-4ECF-9042-6F07121D71A0}"/>
    <cellStyle name="Normal 8 3 3 7 3" xfId="11152" xr:uid="{6C7D28F8-28F6-49A6-9AC2-81BFF33D054C}"/>
    <cellStyle name="Normal 8 3 3 8" xfId="4866" xr:uid="{00000000-0005-0000-0000-0000A81D0000}"/>
    <cellStyle name="Normal 8 3 3 8 2" xfId="13305" xr:uid="{2E50D3BE-6258-4D58-9A7D-19DD3FAF1A4A}"/>
    <cellStyle name="Normal 8 3 3 9" xfId="9087" xr:uid="{3EC18498-960A-4735-BEE9-23FD74BAB20A}"/>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15865" xr:uid="{F292F964-52F8-4679-8CD5-A868CBA1B9D7}"/>
    <cellStyle name="Normal 8 3 4 2 2 3" xfId="11647" xr:uid="{47BA7FD7-0CC0-4D84-836D-C56623C8C809}"/>
    <cellStyle name="Normal 8 3 4 2 3" xfId="5281" xr:uid="{00000000-0005-0000-0000-0000AD1D0000}"/>
    <cellStyle name="Normal 8 3 4 2 3 2" xfId="13720" xr:uid="{7B706FA6-80AE-44BF-B401-05FA6248CBD3}"/>
    <cellStyle name="Normal 8 3 4 2 4" xfId="9502" xr:uid="{EBFA664B-C27B-4785-B5A6-1F6457E245B1}"/>
    <cellStyle name="Normal 8 3 4 3" xfId="1386" xr:uid="{00000000-0005-0000-0000-0000AE1D0000}"/>
    <cellStyle name="Normal 8 3 4 3 2" xfId="3616" xr:uid="{00000000-0005-0000-0000-0000AF1D0000}"/>
    <cellStyle name="Normal 8 3 4 3 2 2" xfId="7839" xr:uid="{00000000-0005-0000-0000-0000B01D0000}"/>
    <cellStyle name="Normal 8 3 4 3 2 2 2" xfId="16278" xr:uid="{56C6E332-A398-47A8-B5D2-B3A35A5C136F}"/>
    <cellStyle name="Normal 8 3 4 3 2 3" xfId="12060" xr:uid="{A1DCC7FD-52B4-4885-85FD-7B1CA28F53D6}"/>
    <cellStyle name="Normal 8 3 4 3 3" xfId="5694" xr:uid="{00000000-0005-0000-0000-0000B11D0000}"/>
    <cellStyle name="Normal 8 3 4 3 3 2" xfId="14133" xr:uid="{BAF2FBEF-65E7-4334-8015-EF819315A2BB}"/>
    <cellStyle name="Normal 8 3 4 3 4" xfId="9915" xr:uid="{315D97E3-43F6-429C-98B0-123F86EB05AE}"/>
    <cellStyle name="Normal 8 3 4 4" xfId="1799" xr:uid="{00000000-0005-0000-0000-0000B21D0000}"/>
    <cellStyle name="Normal 8 3 4 4 2" xfId="4029" xr:uid="{00000000-0005-0000-0000-0000B31D0000}"/>
    <cellStyle name="Normal 8 3 4 4 2 2" xfId="8252" xr:uid="{00000000-0005-0000-0000-0000B41D0000}"/>
    <cellStyle name="Normal 8 3 4 4 2 2 2" xfId="16691" xr:uid="{9027BC12-E906-4EB7-97B1-D43CB89D54B6}"/>
    <cellStyle name="Normal 8 3 4 4 2 3" xfId="12473" xr:uid="{33348B1E-929E-425C-BD05-C0D734C80F0C}"/>
    <cellStyle name="Normal 8 3 4 4 3" xfId="6107" xr:uid="{00000000-0005-0000-0000-0000B51D0000}"/>
    <cellStyle name="Normal 8 3 4 4 3 2" xfId="14546" xr:uid="{3CF520E1-ED01-4D4D-AB4D-BE49306D1404}"/>
    <cellStyle name="Normal 8 3 4 4 4" xfId="10328" xr:uid="{B15C8D91-7686-43B1-A81A-493F3DD86C40}"/>
    <cellStyle name="Normal 8 3 4 5" xfId="2213" xr:uid="{00000000-0005-0000-0000-0000B61D0000}"/>
    <cellStyle name="Normal 8 3 4 5 2" xfId="4442" xr:uid="{00000000-0005-0000-0000-0000B71D0000}"/>
    <cellStyle name="Normal 8 3 4 5 2 2" xfId="8665" xr:uid="{00000000-0005-0000-0000-0000B81D0000}"/>
    <cellStyle name="Normal 8 3 4 5 2 2 2" xfId="17104" xr:uid="{D59DD637-2A06-4BB0-89E9-EA26601C5B0A}"/>
    <cellStyle name="Normal 8 3 4 5 2 3" xfId="12886" xr:uid="{D8A01F6B-3FAD-4F41-8783-808DC7FAA30B}"/>
    <cellStyle name="Normal 8 3 4 5 3" xfId="6520" xr:uid="{00000000-0005-0000-0000-0000B91D0000}"/>
    <cellStyle name="Normal 8 3 4 5 3 2" xfId="14959" xr:uid="{5BF34BB9-E700-45BD-B53A-9D425AA12670}"/>
    <cellStyle name="Normal 8 3 4 5 4" xfId="10741" xr:uid="{C46339C8-57F0-4057-8838-E1E08601F796}"/>
    <cellStyle name="Normal 8 3 4 6" xfId="2649" xr:uid="{00000000-0005-0000-0000-0000BA1D0000}"/>
    <cellStyle name="Normal 8 3 4 6 2" xfId="6933" xr:uid="{00000000-0005-0000-0000-0000BB1D0000}"/>
    <cellStyle name="Normal 8 3 4 6 2 2" xfId="15372" xr:uid="{AB043CEE-CE24-49A6-8E42-3DAD32E73CBA}"/>
    <cellStyle name="Normal 8 3 4 6 3" xfId="11154" xr:uid="{47C24612-870C-4D6E-B981-5D264A7DEC30}"/>
    <cellStyle name="Normal 8 3 4 7" xfId="4868" xr:uid="{00000000-0005-0000-0000-0000BC1D0000}"/>
    <cellStyle name="Normal 8 3 4 7 2" xfId="13307" xr:uid="{50A1DD3B-31BC-4323-9994-EC65268933F6}"/>
    <cellStyle name="Normal 8 3 4 8" xfId="9089" xr:uid="{F0F8A2BC-D094-42E8-9E36-4546AF308C48}"/>
    <cellStyle name="Normal 8 3 5" xfId="962" xr:uid="{00000000-0005-0000-0000-0000BD1D0000}"/>
    <cellStyle name="Normal 8 3 5 2" xfId="3196" xr:uid="{00000000-0005-0000-0000-0000BE1D0000}"/>
    <cellStyle name="Normal 8 3 5 2 2" xfId="7419" xr:uid="{00000000-0005-0000-0000-0000BF1D0000}"/>
    <cellStyle name="Normal 8 3 5 2 2 2" xfId="15858" xr:uid="{E8FDE572-6F49-40F2-88BC-B9995DCC2380}"/>
    <cellStyle name="Normal 8 3 5 2 3" xfId="11640" xr:uid="{61589166-EC0D-4487-8727-202F28198DB1}"/>
    <cellStyle name="Normal 8 3 5 3" xfId="5274" xr:uid="{00000000-0005-0000-0000-0000C01D0000}"/>
    <cellStyle name="Normal 8 3 5 3 2" xfId="13713" xr:uid="{DDA49E7A-F572-4DDD-BD09-840FA2860197}"/>
    <cellStyle name="Normal 8 3 5 4" xfId="9495" xr:uid="{D3B63B6F-7D05-4DDA-8AEA-4694A1CA062C}"/>
    <cellStyle name="Normal 8 3 6" xfId="1379" xr:uid="{00000000-0005-0000-0000-0000C11D0000}"/>
    <cellStyle name="Normal 8 3 6 2" xfId="3609" xr:uid="{00000000-0005-0000-0000-0000C21D0000}"/>
    <cellStyle name="Normal 8 3 6 2 2" xfId="7832" xr:uid="{00000000-0005-0000-0000-0000C31D0000}"/>
    <cellStyle name="Normal 8 3 6 2 2 2" xfId="16271" xr:uid="{DC8DFFD1-403D-4348-A9FC-EEE441A9614D}"/>
    <cellStyle name="Normal 8 3 6 2 3" xfId="12053" xr:uid="{B2B0D7F9-31CC-428C-8DF3-7BC0A52E2B3E}"/>
    <cellStyle name="Normal 8 3 6 3" xfId="5687" xr:uid="{00000000-0005-0000-0000-0000C41D0000}"/>
    <cellStyle name="Normal 8 3 6 3 2" xfId="14126" xr:uid="{279AD708-9A7F-4C5F-8474-5E3B772659F3}"/>
    <cellStyle name="Normal 8 3 6 4" xfId="9908" xr:uid="{3CBE9DD8-5AC4-41EC-810C-EF50C19DF364}"/>
    <cellStyle name="Normal 8 3 7" xfId="1792" xr:uid="{00000000-0005-0000-0000-0000C51D0000}"/>
    <cellStyle name="Normal 8 3 7 2" xfId="4022" xr:uid="{00000000-0005-0000-0000-0000C61D0000}"/>
    <cellStyle name="Normal 8 3 7 2 2" xfId="8245" xr:uid="{00000000-0005-0000-0000-0000C71D0000}"/>
    <cellStyle name="Normal 8 3 7 2 2 2" xfId="16684" xr:uid="{BD0D6322-D62D-4DF1-8367-967FAA9BA69D}"/>
    <cellStyle name="Normal 8 3 7 2 3" xfId="12466" xr:uid="{33517BCE-F5B6-4E28-AA5F-618049E78988}"/>
    <cellStyle name="Normal 8 3 7 3" xfId="6100" xr:uid="{00000000-0005-0000-0000-0000C81D0000}"/>
    <cellStyle name="Normal 8 3 7 3 2" xfId="14539" xr:uid="{7BEF7727-1073-4FD7-8685-775D9D994E02}"/>
    <cellStyle name="Normal 8 3 7 4" xfId="10321" xr:uid="{63277F0B-0FA6-427E-A79D-44516E29FCC2}"/>
    <cellStyle name="Normal 8 3 8" xfId="2206" xr:uid="{00000000-0005-0000-0000-0000C91D0000}"/>
    <cellStyle name="Normal 8 3 8 2" xfId="4435" xr:uid="{00000000-0005-0000-0000-0000CA1D0000}"/>
    <cellStyle name="Normal 8 3 8 2 2" xfId="8658" xr:uid="{00000000-0005-0000-0000-0000CB1D0000}"/>
    <cellStyle name="Normal 8 3 8 2 2 2" xfId="17097" xr:uid="{A134691B-8B2D-4EC6-9A05-808358DD0BE1}"/>
    <cellStyle name="Normal 8 3 8 2 3" xfId="12879" xr:uid="{A72A422A-E75E-482C-9C41-E788228109BB}"/>
    <cellStyle name="Normal 8 3 8 3" xfId="6513" xr:uid="{00000000-0005-0000-0000-0000CC1D0000}"/>
    <cellStyle name="Normal 8 3 8 3 2" xfId="14952" xr:uid="{A49E40DA-4A15-444F-BF41-6C1CCFC651B1}"/>
    <cellStyle name="Normal 8 3 8 4" xfId="10734" xr:uid="{E240CBD5-C07F-4769-B0E7-62EB4742CEF9}"/>
    <cellStyle name="Normal 8 3 9" xfId="2642" xr:uid="{00000000-0005-0000-0000-0000CD1D0000}"/>
    <cellStyle name="Normal 8 3 9 2" xfId="6926" xr:uid="{00000000-0005-0000-0000-0000CE1D0000}"/>
    <cellStyle name="Normal 8 3 9 2 2" xfId="15365" xr:uid="{2AE4C177-337B-483A-9667-B1BF295A199C}"/>
    <cellStyle name="Normal 8 3 9 3" xfId="11147" xr:uid="{6E5E6090-4881-4676-9888-8B3E4FF04D47}"/>
    <cellStyle name="Normal 8 4" xfId="503" xr:uid="{00000000-0005-0000-0000-0000CF1D0000}"/>
    <cellStyle name="Normal 8 4 10" xfId="9090" xr:uid="{49E85B82-F63D-43D1-A03E-A9A2B66762CD}"/>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5868" xr:uid="{CC2E1F24-AAC7-4E94-8EA5-1A0E443A3AC5}"/>
    <cellStyle name="Normal 8 4 2 2 2 2 3" xfId="11650" xr:uid="{4144F28A-249F-4560-AD29-5A3B9C004EF2}"/>
    <cellStyle name="Normal 8 4 2 2 2 3" xfId="5284" xr:uid="{00000000-0005-0000-0000-0000D51D0000}"/>
    <cellStyle name="Normal 8 4 2 2 2 3 2" xfId="13723" xr:uid="{E3902F36-790A-4A84-991C-8C07A03EC46B}"/>
    <cellStyle name="Normal 8 4 2 2 2 4" xfId="9505" xr:uid="{F53B1BEC-5195-4994-A8F8-E2B5247E8FAC}"/>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16281" xr:uid="{2AF365FF-6A8A-46B5-BDD7-626753469130}"/>
    <cellStyle name="Normal 8 4 2 2 3 2 3" xfId="12063" xr:uid="{47167B11-28F2-463A-A74B-D19545477074}"/>
    <cellStyle name="Normal 8 4 2 2 3 3" xfId="5697" xr:uid="{00000000-0005-0000-0000-0000D91D0000}"/>
    <cellStyle name="Normal 8 4 2 2 3 3 2" xfId="14136" xr:uid="{C76708F0-A2C4-4D00-B355-400921A4E869}"/>
    <cellStyle name="Normal 8 4 2 2 3 4" xfId="9918" xr:uid="{BC8547C0-4908-4D2F-9CCE-F5CAAC951388}"/>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16694" xr:uid="{5396373A-3BB9-4E82-BEF6-7FC9F95661A1}"/>
    <cellStyle name="Normal 8 4 2 2 4 2 3" xfId="12476" xr:uid="{AD3539EB-83B1-46CA-A4E9-1205B712470A}"/>
    <cellStyle name="Normal 8 4 2 2 4 3" xfId="6110" xr:uid="{00000000-0005-0000-0000-0000DD1D0000}"/>
    <cellStyle name="Normal 8 4 2 2 4 3 2" xfId="14549" xr:uid="{ACBC5AAF-CECA-4619-B2B6-D9CD3EE79BC6}"/>
    <cellStyle name="Normal 8 4 2 2 4 4" xfId="10331" xr:uid="{330A51D1-2FF5-43D0-9BF9-8843B60A50CA}"/>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17107" xr:uid="{727B45D3-C78D-47EB-9274-1DCF7EFE81FC}"/>
    <cellStyle name="Normal 8 4 2 2 5 2 3" xfId="12889" xr:uid="{F7DC33F3-0A50-4C67-847B-D7DFF2DF1ACD}"/>
    <cellStyle name="Normal 8 4 2 2 5 3" xfId="6523" xr:uid="{00000000-0005-0000-0000-0000E11D0000}"/>
    <cellStyle name="Normal 8 4 2 2 5 3 2" xfId="14962" xr:uid="{31EF592C-5D7E-46C4-8B7F-ADC29F22B8E8}"/>
    <cellStyle name="Normal 8 4 2 2 5 4" xfId="10744" xr:uid="{3FC4952C-A53C-408C-8EEF-F2ACDD6222DF}"/>
    <cellStyle name="Normal 8 4 2 2 6" xfId="2652" xr:uid="{00000000-0005-0000-0000-0000E21D0000}"/>
    <cellStyle name="Normal 8 4 2 2 6 2" xfId="6936" xr:uid="{00000000-0005-0000-0000-0000E31D0000}"/>
    <cellStyle name="Normal 8 4 2 2 6 2 2" xfId="15375" xr:uid="{060ED06B-F2AF-4F18-848C-A85EBE5733E1}"/>
    <cellStyle name="Normal 8 4 2 2 6 3" xfId="11157" xr:uid="{5821A76B-45AD-43A0-93D2-97E4BC9D34A6}"/>
    <cellStyle name="Normal 8 4 2 2 7" xfId="4871" xr:uid="{00000000-0005-0000-0000-0000E41D0000}"/>
    <cellStyle name="Normal 8 4 2 2 7 2" xfId="13310" xr:uid="{E8E303A9-7132-42E9-8027-91EFB3B9BB1D}"/>
    <cellStyle name="Normal 8 4 2 2 8" xfId="9092" xr:uid="{2C61DDD7-EA11-490F-BFAF-5049E14A95E0}"/>
    <cellStyle name="Normal 8 4 2 3" xfId="971" xr:uid="{00000000-0005-0000-0000-0000E51D0000}"/>
    <cellStyle name="Normal 8 4 2 3 2" xfId="3205" xr:uid="{00000000-0005-0000-0000-0000E61D0000}"/>
    <cellStyle name="Normal 8 4 2 3 2 2" xfId="7428" xr:uid="{00000000-0005-0000-0000-0000E71D0000}"/>
    <cellStyle name="Normal 8 4 2 3 2 2 2" xfId="15867" xr:uid="{23FD56AD-BD3E-486A-8D70-EAFBA97E04C2}"/>
    <cellStyle name="Normal 8 4 2 3 2 3" xfId="11649" xr:uid="{2E33C497-61C2-4C13-AE02-CDD74C388868}"/>
    <cellStyle name="Normal 8 4 2 3 3" xfId="5283" xr:uid="{00000000-0005-0000-0000-0000E81D0000}"/>
    <cellStyle name="Normal 8 4 2 3 3 2" xfId="13722" xr:uid="{B077434E-D201-4A0E-8A08-59420F25E2C1}"/>
    <cellStyle name="Normal 8 4 2 3 4" xfId="9504" xr:uid="{023761AB-1CEA-452A-954F-D8F86F3646DD}"/>
    <cellStyle name="Normal 8 4 2 4" xfId="1388" xr:uid="{00000000-0005-0000-0000-0000E91D0000}"/>
    <cellStyle name="Normal 8 4 2 4 2" xfId="3618" xr:uid="{00000000-0005-0000-0000-0000EA1D0000}"/>
    <cellStyle name="Normal 8 4 2 4 2 2" xfId="7841" xr:uid="{00000000-0005-0000-0000-0000EB1D0000}"/>
    <cellStyle name="Normal 8 4 2 4 2 2 2" xfId="16280" xr:uid="{E34EDA16-5FCB-438D-A576-8950FCB7241D}"/>
    <cellStyle name="Normal 8 4 2 4 2 3" xfId="12062" xr:uid="{6A570297-DFB2-49D9-AD33-FD983A591C4B}"/>
    <cellStyle name="Normal 8 4 2 4 3" xfId="5696" xr:uid="{00000000-0005-0000-0000-0000EC1D0000}"/>
    <cellStyle name="Normal 8 4 2 4 3 2" xfId="14135" xr:uid="{2332B2F6-2B64-4E61-9145-D9AE3C2E2B70}"/>
    <cellStyle name="Normal 8 4 2 4 4" xfId="9917" xr:uid="{DA6DEFAA-33CF-4226-BB1B-7DF3E229E993}"/>
    <cellStyle name="Normal 8 4 2 5" xfId="1801" xr:uid="{00000000-0005-0000-0000-0000ED1D0000}"/>
    <cellStyle name="Normal 8 4 2 5 2" xfId="4031" xr:uid="{00000000-0005-0000-0000-0000EE1D0000}"/>
    <cellStyle name="Normal 8 4 2 5 2 2" xfId="8254" xr:uid="{00000000-0005-0000-0000-0000EF1D0000}"/>
    <cellStyle name="Normal 8 4 2 5 2 2 2" xfId="16693" xr:uid="{BCF34FF8-0004-47B5-9404-9820A6E3D8BB}"/>
    <cellStyle name="Normal 8 4 2 5 2 3" xfId="12475" xr:uid="{6313F8C2-6507-4B22-B0A9-B974CE8029A9}"/>
    <cellStyle name="Normal 8 4 2 5 3" xfId="6109" xr:uid="{00000000-0005-0000-0000-0000F01D0000}"/>
    <cellStyle name="Normal 8 4 2 5 3 2" xfId="14548" xr:uid="{32CA3362-FC9C-429C-BB9D-A6C64B527403}"/>
    <cellStyle name="Normal 8 4 2 5 4" xfId="10330" xr:uid="{BF20EA1F-D09C-446E-82A6-682128AF6968}"/>
    <cellStyle name="Normal 8 4 2 6" xfId="2215" xr:uid="{00000000-0005-0000-0000-0000F11D0000}"/>
    <cellStyle name="Normal 8 4 2 6 2" xfId="4444" xr:uid="{00000000-0005-0000-0000-0000F21D0000}"/>
    <cellStyle name="Normal 8 4 2 6 2 2" xfId="8667" xr:uid="{00000000-0005-0000-0000-0000F31D0000}"/>
    <cellStyle name="Normal 8 4 2 6 2 2 2" xfId="17106" xr:uid="{C8F99C5F-9E04-4402-AA4C-4B2FE91821AC}"/>
    <cellStyle name="Normal 8 4 2 6 2 3" xfId="12888" xr:uid="{81012547-1BEA-4988-90DA-76AD73449AB0}"/>
    <cellStyle name="Normal 8 4 2 6 3" xfId="6522" xr:uid="{00000000-0005-0000-0000-0000F41D0000}"/>
    <cellStyle name="Normal 8 4 2 6 3 2" xfId="14961" xr:uid="{7650E5F8-1867-44A7-895C-9FF227FC5BCB}"/>
    <cellStyle name="Normal 8 4 2 6 4" xfId="10743" xr:uid="{4083C2E8-454F-4873-8EF1-1595AAD1F016}"/>
    <cellStyle name="Normal 8 4 2 7" xfId="2651" xr:uid="{00000000-0005-0000-0000-0000F51D0000}"/>
    <cellStyle name="Normal 8 4 2 7 2" xfId="6935" xr:uid="{00000000-0005-0000-0000-0000F61D0000}"/>
    <cellStyle name="Normal 8 4 2 7 2 2" xfId="15374" xr:uid="{1B03D485-5AEB-4BC1-AFD2-5E65E1DF1DFE}"/>
    <cellStyle name="Normal 8 4 2 7 3" xfId="11156" xr:uid="{A71D9AAB-7E5B-4AC4-A319-73A40A40DABC}"/>
    <cellStyle name="Normal 8 4 2 8" xfId="4870" xr:uid="{00000000-0005-0000-0000-0000F71D0000}"/>
    <cellStyle name="Normal 8 4 2 8 2" xfId="13309" xr:uid="{0209D11B-B092-44DD-B86F-FB0131A4DB10}"/>
    <cellStyle name="Normal 8 4 2 9" xfId="9091" xr:uid="{0837B016-6F3B-4134-BBF3-D6E1FA1C96C4}"/>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15869" xr:uid="{C5A58CFC-543E-4BAA-9493-534357B56292}"/>
    <cellStyle name="Normal 8 4 3 2 2 3" xfId="11651" xr:uid="{A8FF58BE-67BB-4FAB-9A87-5CE778CBEEB0}"/>
    <cellStyle name="Normal 8 4 3 2 3" xfId="5285" xr:uid="{00000000-0005-0000-0000-0000FC1D0000}"/>
    <cellStyle name="Normal 8 4 3 2 3 2" xfId="13724" xr:uid="{2CE19E4E-DE0B-4F25-81A3-E74DD85C1172}"/>
    <cellStyle name="Normal 8 4 3 2 4" xfId="9506" xr:uid="{86861091-2E6C-4B09-9FAF-DB235109CDBF}"/>
    <cellStyle name="Normal 8 4 3 3" xfId="1390" xr:uid="{00000000-0005-0000-0000-0000FD1D0000}"/>
    <cellStyle name="Normal 8 4 3 3 2" xfId="3620" xr:uid="{00000000-0005-0000-0000-0000FE1D0000}"/>
    <cellStyle name="Normal 8 4 3 3 2 2" xfId="7843" xr:uid="{00000000-0005-0000-0000-0000FF1D0000}"/>
    <cellStyle name="Normal 8 4 3 3 2 2 2" xfId="16282" xr:uid="{4D57ECC0-7F48-4F42-9F67-0E59AE66108F}"/>
    <cellStyle name="Normal 8 4 3 3 2 3" xfId="12064" xr:uid="{887269BD-2081-4567-9304-FCAFE663CCBA}"/>
    <cellStyle name="Normal 8 4 3 3 3" xfId="5698" xr:uid="{00000000-0005-0000-0000-0000001E0000}"/>
    <cellStyle name="Normal 8 4 3 3 3 2" xfId="14137" xr:uid="{31C638B2-E0C3-4A5B-89BF-147065C457E5}"/>
    <cellStyle name="Normal 8 4 3 3 4" xfId="9919" xr:uid="{92C4A07D-18FD-4160-931C-27B6C14443B3}"/>
    <cellStyle name="Normal 8 4 3 4" xfId="1803" xr:uid="{00000000-0005-0000-0000-0000011E0000}"/>
    <cellStyle name="Normal 8 4 3 4 2" xfId="4033" xr:uid="{00000000-0005-0000-0000-0000021E0000}"/>
    <cellStyle name="Normal 8 4 3 4 2 2" xfId="8256" xr:uid="{00000000-0005-0000-0000-0000031E0000}"/>
    <cellStyle name="Normal 8 4 3 4 2 2 2" xfId="16695" xr:uid="{A179BE4D-6ECC-44BF-8752-8D1AFA66B6AB}"/>
    <cellStyle name="Normal 8 4 3 4 2 3" xfId="12477" xr:uid="{1E33978D-8DB2-4B94-B910-78DD949C9F66}"/>
    <cellStyle name="Normal 8 4 3 4 3" xfId="6111" xr:uid="{00000000-0005-0000-0000-0000041E0000}"/>
    <cellStyle name="Normal 8 4 3 4 3 2" xfId="14550" xr:uid="{0EF46903-A428-4CDD-891D-80718CF76419}"/>
    <cellStyle name="Normal 8 4 3 4 4" xfId="10332" xr:uid="{4815D1F5-F6B2-4E5B-9F82-B850ADE37EEB}"/>
    <cellStyle name="Normal 8 4 3 5" xfId="2217" xr:uid="{00000000-0005-0000-0000-0000051E0000}"/>
    <cellStyle name="Normal 8 4 3 5 2" xfId="4446" xr:uid="{00000000-0005-0000-0000-0000061E0000}"/>
    <cellStyle name="Normal 8 4 3 5 2 2" xfId="8669" xr:uid="{00000000-0005-0000-0000-0000071E0000}"/>
    <cellStyle name="Normal 8 4 3 5 2 2 2" xfId="17108" xr:uid="{A9CDD2BA-2F1E-45EE-8C80-CC240DB5E677}"/>
    <cellStyle name="Normal 8 4 3 5 2 3" xfId="12890" xr:uid="{E361CC72-97A4-472F-9522-2001CB83057A}"/>
    <cellStyle name="Normal 8 4 3 5 3" xfId="6524" xr:uid="{00000000-0005-0000-0000-0000081E0000}"/>
    <cellStyle name="Normal 8 4 3 5 3 2" xfId="14963" xr:uid="{3454BE1B-242B-4FD3-A740-C1FED8CA3E2F}"/>
    <cellStyle name="Normal 8 4 3 5 4" xfId="10745" xr:uid="{1E2A4769-8A93-4B5F-970A-3B5238839F2D}"/>
    <cellStyle name="Normal 8 4 3 6" xfId="2653" xr:uid="{00000000-0005-0000-0000-0000091E0000}"/>
    <cellStyle name="Normal 8 4 3 6 2" xfId="6937" xr:uid="{00000000-0005-0000-0000-00000A1E0000}"/>
    <cellStyle name="Normal 8 4 3 6 2 2" xfId="15376" xr:uid="{F428CB57-9AB9-4A49-A6C7-B491E64538BF}"/>
    <cellStyle name="Normal 8 4 3 6 3" xfId="11158" xr:uid="{B1B4DDD0-FBB3-4E44-8C3D-FA308799401E}"/>
    <cellStyle name="Normal 8 4 3 7" xfId="4872" xr:uid="{00000000-0005-0000-0000-00000B1E0000}"/>
    <cellStyle name="Normal 8 4 3 7 2" xfId="13311" xr:uid="{8B15F3A5-C5B1-456E-B580-AACC030B73DB}"/>
    <cellStyle name="Normal 8 4 3 8" xfId="9093" xr:uid="{1D299CDE-D062-49BD-8C9F-6791D1051AAE}"/>
    <cellStyle name="Normal 8 4 4" xfId="970" xr:uid="{00000000-0005-0000-0000-00000C1E0000}"/>
    <cellStyle name="Normal 8 4 4 2" xfId="3204" xr:uid="{00000000-0005-0000-0000-00000D1E0000}"/>
    <cellStyle name="Normal 8 4 4 2 2" xfId="7427" xr:uid="{00000000-0005-0000-0000-00000E1E0000}"/>
    <cellStyle name="Normal 8 4 4 2 2 2" xfId="15866" xr:uid="{9F92E0E4-6A19-48BC-9B9E-41F2D38FE639}"/>
    <cellStyle name="Normal 8 4 4 2 3" xfId="11648" xr:uid="{BC5B4EE4-9F85-4649-B659-BBD16EF02AE4}"/>
    <cellStyle name="Normal 8 4 4 3" xfId="5282" xr:uid="{00000000-0005-0000-0000-00000F1E0000}"/>
    <cellStyle name="Normal 8 4 4 3 2" xfId="13721" xr:uid="{982B86C5-B293-4792-A561-334B2EE953AB}"/>
    <cellStyle name="Normal 8 4 4 4" xfId="9503" xr:uid="{F02BB288-136B-4D78-8D93-A515DEB42890}"/>
    <cellStyle name="Normal 8 4 5" xfId="1387" xr:uid="{00000000-0005-0000-0000-0000101E0000}"/>
    <cellStyle name="Normal 8 4 5 2" xfId="3617" xr:uid="{00000000-0005-0000-0000-0000111E0000}"/>
    <cellStyle name="Normal 8 4 5 2 2" xfId="7840" xr:uid="{00000000-0005-0000-0000-0000121E0000}"/>
    <cellStyle name="Normal 8 4 5 2 2 2" xfId="16279" xr:uid="{F1F70DA2-87D8-4501-88BD-7B26E16ED216}"/>
    <cellStyle name="Normal 8 4 5 2 3" xfId="12061" xr:uid="{10D8C38D-AF9B-4682-95AB-3AEA591F84C0}"/>
    <cellStyle name="Normal 8 4 5 3" xfId="5695" xr:uid="{00000000-0005-0000-0000-0000131E0000}"/>
    <cellStyle name="Normal 8 4 5 3 2" xfId="14134" xr:uid="{530C76DB-FAEE-43D3-ABF8-AC635937DB51}"/>
    <cellStyle name="Normal 8 4 5 4" xfId="9916" xr:uid="{C777F27D-0617-47B4-A1A2-4C54E94951DB}"/>
    <cellStyle name="Normal 8 4 6" xfId="1800" xr:uid="{00000000-0005-0000-0000-0000141E0000}"/>
    <cellStyle name="Normal 8 4 6 2" xfId="4030" xr:uid="{00000000-0005-0000-0000-0000151E0000}"/>
    <cellStyle name="Normal 8 4 6 2 2" xfId="8253" xr:uid="{00000000-0005-0000-0000-0000161E0000}"/>
    <cellStyle name="Normal 8 4 6 2 2 2" xfId="16692" xr:uid="{B60E6B98-A203-41F3-BDF3-85B9C6482842}"/>
    <cellStyle name="Normal 8 4 6 2 3" xfId="12474" xr:uid="{4DC40010-B7B7-40FC-AEE3-941FF188D2E6}"/>
    <cellStyle name="Normal 8 4 6 3" xfId="6108" xr:uid="{00000000-0005-0000-0000-0000171E0000}"/>
    <cellStyle name="Normal 8 4 6 3 2" xfId="14547" xr:uid="{CF213562-F758-49D6-AC1B-04D2D8F1B42B}"/>
    <cellStyle name="Normal 8 4 6 4" xfId="10329" xr:uid="{6FBDA3B1-DDBF-411C-8FEA-72BFE044A58E}"/>
    <cellStyle name="Normal 8 4 7" xfId="2214" xr:uid="{00000000-0005-0000-0000-0000181E0000}"/>
    <cellStyle name="Normal 8 4 7 2" xfId="4443" xr:uid="{00000000-0005-0000-0000-0000191E0000}"/>
    <cellStyle name="Normal 8 4 7 2 2" xfId="8666" xr:uid="{00000000-0005-0000-0000-00001A1E0000}"/>
    <cellStyle name="Normal 8 4 7 2 2 2" xfId="17105" xr:uid="{7223A392-6B27-4AAA-80DB-E16990BABBCB}"/>
    <cellStyle name="Normal 8 4 7 2 3" xfId="12887" xr:uid="{908F67B7-06E7-40EF-9615-1FF8C854BB2D}"/>
    <cellStyle name="Normal 8 4 7 3" xfId="6521" xr:uid="{00000000-0005-0000-0000-00001B1E0000}"/>
    <cellStyle name="Normal 8 4 7 3 2" xfId="14960" xr:uid="{46D7263D-C5DB-4459-BBAF-879AC67989AC}"/>
    <cellStyle name="Normal 8 4 7 4" xfId="10742" xr:uid="{596AB019-612E-478D-9349-9EBB0803F79A}"/>
    <cellStyle name="Normal 8 4 8" xfId="2650" xr:uid="{00000000-0005-0000-0000-00001C1E0000}"/>
    <cellStyle name="Normal 8 4 8 2" xfId="6934" xr:uid="{00000000-0005-0000-0000-00001D1E0000}"/>
    <cellStyle name="Normal 8 4 8 2 2" xfId="15373" xr:uid="{F61BD080-64C3-4C5C-9E43-AAE7FBB8C013}"/>
    <cellStyle name="Normal 8 4 8 3" xfId="11155" xr:uid="{38F364C7-2E86-44DB-BF16-A37FE7FE1B22}"/>
    <cellStyle name="Normal 8 4 9" xfId="4869" xr:uid="{00000000-0005-0000-0000-00001E1E0000}"/>
    <cellStyle name="Normal 8 4 9 2" xfId="13308" xr:uid="{513048C4-2CD2-43F7-BBE6-B23B82A0477B}"/>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15871" xr:uid="{AD15740F-5001-4A6B-9F40-3CDE6366150A}"/>
    <cellStyle name="Normal 8 5 2 2 2 3" xfId="11653" xr:uid="{982BEC68-38D7-4B2E-90CD-7342478B0004}"/>
    <cellStyle name="Normal 8 5 2 2 3" xfId="5287" xr:uid="{00000000-0005-0000-0000-0000241E0000}"/>
    <cellStyle name="Normal 8 5 2 2 3 2" xfId="13726" xr:uid="{BA616DB2-E871-4387-84D1-9A3D299FBD32}"/>
    <cellStyle name="Normal 8 5 2 2 4" xfId="9508" xr:uid="{A9DAC6DE-268F-48F4-B2DB-805BA5F118AF}"/>
    <cellStyle name="Normal 8 5 2 3" xfId="1392" xr:uid="{00000000-0005-0000-0000-0000251E0000}"/>
    <cellStyle name="Normal 8 5 2 3 2" xfId="3622" xr:uid="{00000000-0005-0000-0000-0000261E0000}"/>
    <cellStyle name="Normal 8 5 2 3 2 2" xfId="7845" xr:uid="{00000000-0005-0000-0000-0000271E0000}"/>
    <cellStyle name="Normal 8 5 2 3 2 2 2" xfId="16284" xr:uid="{5EC2FCBA-61F9-4CE8-8A36-5C8E2C4587B5}"/>
    <cellStyle name="Normal 8 5 2 3 2 3" xfId="12066" xr:uid="{CC5E6E79-3345-4136-A688-8A97D4C2DCFE}"/>
    <cellStyle name="Normal 8 5 2 3 3" xfId="5700" xr:uid="{00000000-0005-0000-0000-0000281E0000}"/>
    <cellStyle name="Normal 8 5 2 3 3 2" xfId="14139" xr:uid="{9B93E9A5-D384-487F-9816-108D8710CDDB}"/>
    <cellStyle name="Normal 8 5 2 3 4" xfId="9921" xr:uid="{A17D22E3-6AB6-45B1-BD69-15F4ACAED9A0}"/>
    <cellStyle name="Normal 8 5 2 4" xfId="1805" xr:uid="{00000000-0005-0000-0000-0000291E0000}"/>
    <cellStyle name="Normal 8 5 2 4 2" xfId="4035" xr:uid="{00000000-0005-0000-0000-00002A1E0000}"/>
    <cellStyle name="Normal 8 5 2 4 2 2" xfId="8258" xr:uid="{00000000-0005-0000-0000-00002B1E0000}"/>
    <cellStyle name="Normal 8 5 2 4 2 2 2" xfId="16697" xr:uid="{EAE33CF0-CF01-41A4-B19E-1F6EA1071C0F}"/>
    <cellStyle name="Normal 8 5 2 4 2 3" xfId="12479" xr:uid="{83ABE58F-4732-47E5-BEA1-88C391DF5AEA}"/>
    <cellStyle name="Normal 8 5 2 4 3" xfId="6113" xr:uid="{00000000-0005-0000-0000-00002C1E0000}"/>
    <cellStyle name="Normal 8 5 2 4 3 2" xfId="14552" xr:uid="{A3F14CFA-0936-4D9C-B5D5-8401B0B74236}"/>
    <cellStyle name="Normal 8 5 2 4 4" xfId="10334" xr:uid="{F80317C6-1461-4831-A3E9-97158B1D5C53}"/>
    <cellStyle name="Normal 8 5 2 5" xfId="2219" xr:uid="{00000000-0005-0000-0000-00002D1E0000}"/>
    <cellStyle name="Normal 8 5 2 5 2" xfId="4448" xr:uid="{00000000-0005-0000-0000-00002E1E0000}"/>
    <cellStyle name="Normal 8 5 2 5 2 2" xfId="8671" xr:uid="{00000000-0005-0000-0000-00002F1E0000}"/>
    <cellStyle name="Normal 8 5 2 5 2 2 2" xfId="17110" xr:uid="{47625A87-C7EE-4C12-871D-9AA8DF2C4640}"/>
    <cellStyle name="Normal 8 5 2 5 2 3" xfId="12892" xr:uid="{09F69AEA-5EAA-4B0D-9D2D-577C780D7058}"/>
    <cellStyle name="Normal 8 5 2 5 3" xfId="6526" xr:uid="{00000000-0005-0000-0000-0000301E0000}"/>
    <cellStyle name="Normal 8 5 2 5 3 2" xfId="14965" xr:uid="{AFFD2BA8-F725-436E-AD74-DEFEAF5D7710}"/>
    <cellStyle name="Normal 8 5 2 5 4" xfId="10747" xr:uid="{1554C791-13E1-4EED-8729-9B94938D8753}"/>
    <cellStyle name="Normal 8 5 2 6" xfId="2655" xr:uid="{00000000-0005-0000-0000-0000311E0000}"/>
    <cellStyle name="Normal 8 5 2 6 2" xfId="6939" xr:uid="{00000000-0005-0000-0000-0000321E0000}"/>
    <cellStyle name="Normal 8 5 2 6 2 2" xfId="15378" xr:uid="{C7052AA8-FE27-4187-A4E5-3D414D17923C}"/>
    <cellStyle name="Normal 8 5 2 6 3" xfId="11160" xr:uid="{1DAE8C4A-5D1A-4E5A-8DD6-61AB2CCE0C56}"/>
    <cellStyle name="Normal 8 5 2 7" xfId="4874" xr:uid="{00000000-0005-0000-0000-0000331E0000}"/>
    <cellStyle name="Normal 8 5 2 7 2" xfId="13313" xr:uid="{BD873538-7292-4197-BF7B-109CD3462AB2}"/>
    <cellStyle name="Normal 8 5 2 8" xfId="9095" xr:uid="{215A4A4A-9F8D-42AB-B29B-184D15C8054F}"/>
    <cellStyle name="Normal 8 5 3" xfId="974" xr:uid="{00000000-0005-0000-0000-0000341E0000}"/>
    <cellStyle name="Normal 8 5 3 2" xfId="3208" xr:uid="{00000000-0005-0000-0000-0000351E0000}"/>
    <cellStyle name="Normal 8 5 3 2 2" xfId="7431" xr:uid="{00000000-0005-0000-0000-0000361E0000}"/>
    <cellStyle name="Normal 8 5 3 2 2 2" xfId="15870" xr:uid="{7E91F685-4F4C-47C8-A74E-C6E5B774F7CC}"/>
    <cellStyle name="Normal 8 5 3 2 3" xfId="11652" xr:uid="{3A99D588-2975-4E75-BF45-4E87A1FE67AE}"/>
    <cellStyle name="Normal 8 5 3 3" xfId="5286" xr:uid="{00000000-0005-0000-0000-0000371E0000}"/>
    <cellStyle name="Normal 8 5 3 3 2" xfId="13725" xr:uid="{B9BF233A-2465-4EF9-BDEF-C37D0691A5AE}"/>
    <cellStyle name="Normal 8 5 3 4" xfId="9507" xr:uid="{7F15C38C-9436-42AA-B75C-34BD19961246}"/>
    <cellStyle name="Normal 8 5 4" xfId="1391" xr:uid="{00000000-0005-0000-0000-0000381E0000}"/>
    <cellStyle name="Normal 8 5 4 2" xfId="3621" xr:uid="{00000000-0005-0000-0000-0000391E0000}"/>
    <cellStyle name="Normal 8 5 4 2 2" xfId="7844" xr:uid="{00000000-0005-0000-0000-00003A1E0000}"/>
    <cellStyle name="Normal 8 5 4 2 2 2" xfId="16283" xr:uid="{91DFFC68-A294-401D-8DF6-2D92EAB0D74E}"/>
    <cellStyle name="Normal 8 5 4 2 3" xfId="12065" xr:uid="{60549D2A-4FC2-4199-818A-AFF9AD2805E0}"/>
    <cellStyle name="Normal 8 5 4 3" xfId="5699" xr:uid="{00000000-0005-0000-0000-00003B1E0000}"/>
    <cellStyle name="Normal 8 5 4 3 2" xfId="14138" xr:uid="{6FBBB352-AAC6-49FE-BFFF-AEA381EF8F46}"/>
    <cellStyle name="Normal 8 5 4 4" xfId="9920" xr:uid="{12103179-46AD-4D72-B574-727CE5AF2C67}"/>
    <cellStyle name="Normal 8 5 5" xfId="1804" xr:uid="{00000000-0005-0000-0000-00003C1E0000}"/>
    <cellStyle name="Normal 8 5 5 2" xfId="4034" xr:uid="{00000000-0005-0000-0000-00003D1E0000}"/>
    <cellStyle name="Normal 8 5 5 2 2" xfId="8257" xr:uid="{00000000-0005-0000-0000-00003E1E0000}"/>
    <cellStyle name="Normal 8 5 5 2 2 2" xfId="16696" xr:uid="{DC276C6C-C92C-46B0-9F73-E758DED37770}"/>
    <cellStyle name="Normal 8 5 5 2 3" xfId="12478" xr:uid="{E0564F81-86D9-4EA3-ADC2-CE398BD0ADD9}"/>
    <cellStyle name="Normal 8 5 5 3" xfId="6112" xr:uid="{00000000-0005-0000-0000-00003F1E0000}"/>
    <cellStyle name="Normal 8 5 5 3 2" xfId="14551" xr:uid="{4FE13CC7-C7DF-48C3-8834-4B968B747D37}"/>
    <cellStyle name="Normal 8 5 5 4" xfId="10333" xr:uid="{4648AA0C-AED1-4C7D-958F-B1EAF369E152}"/>
    <cellStyle name="Normal 8 5 6" xfId="2218" xr:uid="{00000000-0005-0000-0000-0000401E0000}"/>
    <cellStyle name="Normal 8 5 6 2" xfId="4447" xr:uid="{00000000-0005-0000-0000-0000411E0000}"/>
    <cellStyle name="Normal 8 5 6 2 2" xfId="8670" xr:uid="{00000000-0005-0000-0000-0000421E0000}"/>
    <cellStyle name="Normal 8 5 6 2 2 2" xfId="17109" xr:uid="{38B30BBE-DB0E-40FB-A40C-4E0DD37F6A1F}"/>
    <cellStyle name="Normal 8 5 6 2 3" xfId="12891" xr:uid="{9D27E7DC-F153-46E6-9126-5E1FA7A00F07}"/>
    <cellStyle name="Normal 8 5 6 3" xfId="6525" xr:uid="{00000000-0005-0000-0000-0000431E0000}"/>
    <cellStyle name="Normal 8 5 6 3 2" xfId="14964" xr:uid="{18785456-9D46-4CFF-BBE2-30B3DF791F2A}"/>
    <cellStyle name="Normal 8 5 6 4" xfId="10746" xr:uid="{92E86665-8626-4EC1-9862-9BDF4EE01A53}"/>
    <cellStyle name="Normal 8 5 7" xfId="2654" xr:uid="{00000000-0005-0000-0000-0000441E0000}"/>
    <cellStyle name="Normal 8 5 7 2" xfId="6938" xr:uid="{00000000-0005-0000-0000-0000451E0000}"/>
    <cellStyle name="Normal 8 5 7 2 2" xfId="15377" xr:uid="{F1BD5F7C-EBCC-4629-A793-58EE997E07D4}"/>
    <cellStyle name="Normal 8 5 7 3" xfId="11159" xr:uid="{86B3ED04-E69E-4686-AC8B-AFE8657C9F5C}"/>
    <cellStyle name="Normal 8 5 8" xfId="4873" xr:uid="{00000000-0005-0000-0000-0000461E0000}"/>
    <cellStyle name="Normal 8 5 8 2" xfId="13312" xr:uid="{CCDCFB6F-DCEC-48C5-9FEC-6639A3827200}"/>
    <cellStyle name="Normal 8 5 9" xfId="9094" xr:uid="{F1B0909C-B80E-42E5-8848-F5E0320881CB}"/>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15872" xr:uid="{A88B5232-CA31-465A-9DCD-3CBFA45319FD}"/>
    <cellStyle name="Normal 8 6 2 2 3" xfId="11654" xr:uid="{001E7D4F-023A-4423-95B1-895943ADD7E7}"/>
    <cellStyle name="Normal 8 6 2 3" xfId="5288" xr:uid="{00000000-0005-0000-0000-00004B1E0000}"/>
    <cellStyle name="Normal 8 6 2 3 2" xfId="13727" xr:uid="{7609A71F-FCA4-4C48-BF79-8EBAEF9A377C}"/>
    <cellStyle name="Normal 8 6 2 4" xfId="9509" xr:uid="{B0027165-F792-40B7-B27C-D823CB619C68}"/>
    <cellStyle name="Normal 8 6 3" xfId="1393" xr:uid="{00000000-0005-0000-0000-00004C1E0000}"/>
    <cellStyle name="Normal 8 6 3 2" xfId="3623" xr:uid="{00000000-0005-0000-0000-00004D1E0000}"/>
    <cellStyle name="Normal 8 6 3 2 2" xfId="7846" xr:uid="{00000000-0005-0000-0000-00004E1E0000}"/>
    <cellStyle name="Normal 8 6 3 2 2 2" xfId="16285" xr:uid="{6C6DA048-BCC7-4897-88AF-3B153F49E503}"/>
    <cellStyle name="Normal 8 6 3 2 3" xfId="12067" xr:uid="{A223E0ED-D339-41B9-8F8C-39E329178906}"/>
    <cellStyle name="Normal 8 6 3 3" xfId="5701" xr:uid="{00000000-0005-0000-0000-00004F1E0000}"/>
    <cellStyle name="Normal 8 6 3 3 2" xfId="14140" xr:uid="{3605ABAB-B978-41F7-A493-AAAEA2676A74}"/>
    <cellStyle name="Normal 8 6 3 4" xfId="9922" xr:uid="{D877A0EB-52F6-423D-9E60-2B864DF01366}"/>
    <cellStyle name="Normal 8 6 4" xfId="1806" xr:uid="{00000000-0005-0000-0000-0000501E0000}"/>
    <cellStyle name="Normal 8 6 4 2" xfId="4036" xr:uid="{00000000-0005-0000-0000-0000511E0000}"/>
    <cellStyle name="Normal 8 6 4 2 2" xfId="8259" xr:uid="{00000000-0005-0000-0000-0000521E0000}"/>
    <cellStyle name="Normal 8 6 4 2 2 2" xfId="16698" xr:uid="{95E9FDAC-CE5C-441E-A041-A26100EB8314}"/>
    <cellStyle name="Normal 8 6 4 2 3" xfId="12480" xr:uid="{28ADBD4D-D13A-4338-ACB7-5077688CA207}"/>
    <cellStyle name="Normal 8 6 4 3" xfId="6114" xr:uid="{00000000-0005-0000-0000-0000531E0000}"/>
    <cellStyle name="Normal 8 6 4 3 2" xfId="14553" xr:uid="{A5E41055-7749-4E03-80EA-14805FB2492A}"/>
    <cellStyle name="Normal 8 6 4 4" xfId="10335" xr:uid="{E655C053-0278-4C99-9EB5-8EA2651A281D}"/>
    <cellStyle name="Normal 8 6 5" xfId="2220" xr:uid="{00000000-0005-0000-0000-0000541E0000}"/>
    <cellStyle name="Normal 8 6 5 2" xfId="4449" xr:uid="{00000000-0005-0000-0000-0000551E0000}"/>
    <cellStyle name="Normal 8 6 5 2 2" xfId="8672" xr:uid="{00000000-0005-0000-0000-0000561E0000}"/>
    <cellStyle name="Normal 8 6 5 2 2 2" xfId="17111" xr:uid="{392A2018-69B5-4EDD-96D3-A5A214B3B125}"/>
    <cellStyle name="Normal 8 6 5 2 3" xfId="12893" xr:uid="{C27D8DC1-1F17-42FD-85A0-89E60BBCF3C5}"/>
    <cellStyle name="Normal 8 6 5 3" xfId="6527" xr:uid="{00000000-0005-0000-0000-0000571E0000}"/>
    <cellStyle name="Normal 8 6 5 3 2" xfId="14966" xr:uid="{64EEA1F0-7FC8-452C-A970-5924B01D00A0}"/>
    <cellStyle name="Normal 8 6 5 4" xfId="10748" xr:uid="{2EF95EEA-0252-4498-A4CB-ED35960B80F4}"/>
    <cellStyle name="Normal 8 6 6" xfId="2656" xr:uid="{00000000-0005-0000-0000-0000581E0000}"/>
    <cellStyle name="Normal 8 6 6 2" xfId="6940" xr:uid="{00000000-0005-0000-0000-0000591E0000}"/>
    <cellStyle name="Normal 8 6 6 2 2" xfId="15379" xr:uid="{01C75BF0-9298-4C5D-A4A8-AB14C3A6B075}"/>
    <cellStyle name="Normal 8 6 6 3" xfId="11161" xr:uid="{D6C8669F-33E2-4B38-A4BD-A089C1C204CB}"/>
    <cellStyle name="Normal 8 6 7" xfId="4875" xr:uid="{00000000-0005-0000-0000-00005A1E0000}"/>
    <cellStyle name="Normal 8 6 7 2" xfId="13314" xr:uid="{B971B6AC-666D-47C2-BF26-6A8DDF885547}"/>
    <cellStyle name="Normal 8 6 8" xfId="9096" xr:uid="{9077F3AE-2FE8-416E-A111-49C29C97DF9F}"/>
    <cellStyle name="Normal 8 7" xfId="945" xr:uid="{00000000-0005-0000-0000-00005B1E0000}"/>
    <cellStyle name="Normal 8 7 2" xfId="3179" xr:uid="{00000000-0005-0000-0000-00005C1E0000}"/>
    <cellStyle name="Normal 8 7 2 2" xfId="7402" xr:uid="{00000000-0005-0000-0000-00005D1E0000}"/>
    <cellStyle name="Normal 8 7 2 2 2" xfId="15841" xr:uid="{6BFA1818-980D-4BA1-8DE9-694400AE6F4F}"/>
    <cellStyle name="Normal 8 7 2 3" xfId="11623" xr:uid="{9D215F30-2517-4A4F-A5D0-8F19AB33A202}"/>
    <cellStyle name="Normal 8 7 3" xfId="5257" xr:uid="{00000000-0005-0000-0000-00005E1E0000}"/>
    <cellStyle name="Normal 8 7 3 2" xfId="13696" xr:uid="{9BA82DAD-BE0C-4B74-A4F4-616111537965}"/>
    <cellStyle name="Normal 8 7 4" xfId="9478" xr:uid="{69635B4F-CDAA-4308-A485-80A50637F0BE}"/>
    <cellStyle name="Normal 8 8" xfId="1362" xr:uid="{00000000-0005-0000-0000-00005F1E0000}"/>
    <cellStyle name="Normal 8 8 2" xfId="3592" xr:uid="{00000000-0005-0000-0000-0000601E0000}"/>
    <cellStyle name="Normal 8 8 2 2" xfId="7815" xr:uid="{00000000-0005-0000-0000-0000611E0000}"/>
    <cellStyle name="Normal 8 8 2 2 2" xfId="16254" xr:uid="{946FDD67-F170-428D-90ED-C9663D99DF1B}"/>
    <cellStyle name="Normal 8 8 2 3" xfId="12036" xr:uid="{43D42CF1-DADB-46CF-9F0A-8EC2C6BD3F98}"/>
    <cellStyle name="Normal 8 8 3" xfId="5670" xr:uid="{00000000-0005-0000-0000-0000621E0000}"/>
    <cellStyle name="Normal 8 8 3 2" xfId="14109" xr:uid="{6090D923-38ED-406C-95C5-80C952B31B47}"/>
    <cellStyle name="Normal 8 8 4" xfId="9891" xr:uid="{7D589EC0-7324-45E2-B447-2FF5A5858928}"/>
    <cellStyle name="Normal 8 9" xfId="1775" xr:uid="{00000000-0005-0000-0000-0000631E0000}"/>
    <cellStyle name="Normal 8 9 2" xfId="4005" xr:uid="{00000000-0005-0000-0000-0000641E0000}"/>
    <cellStyle name="Normal 8 9 2 2" xfId="8228" xr:uid="{00000000-0005-0000-0000-0000651E0000}"/>
    <cellStyle name="Normal 8 9 2 2 2" xfId="16667" xr:uid="{5D7EA6C2-464C-454E-8280-7B30409BE68A}"/>
    <cellStyle name="Normal 8 9 2 3" xfId="12449" xr:uid="{141CFB1A-8A24-49CC-B6F3-1AA1B74FF62F}"/>
    <cellStyle name="Normal 8 9 3" xfId="6083" xr:uid="{00000000-0005-0000-0000-0000661E0000}"/>
    <cellStyle name="Normal 8 9 3 2" xfId="14522" xr:uid="{1E14A178-6821-422E-AFD8-C891699EC459}"/>
    <cellStyle name="Normal 8 9 4" xfId="10304" xr:uid="{673DD740-C6EF-49E9-B0F4-B30471F086EB}"/>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15380" xr:uid="{FC49BD94-57B0-493D-A267-C9EA45FB3102}"/>
    <cellStyle name="Normal 9 2 10 3" xfId="11162" xr:uid="{0A74F413-A684-4920-9A47-CE7740EF0B0A}"/>
    <cellStyle name="Normal 9 2 11" xfId="4876" xr:uid="{00000000-0005-0000-0000-00006B1E0000}"/>
    <cellStyle name="Normal 9 2 11 2" xfId="13315" xr:uid="{B5FD4C54-299A-49DD-BD26-32B22C018883}"/>
    <cellStyle name="Normal 9 2 12" xfId="9097" xr:uid="{D2EEB4B8-5FB0-4C5F-94A0-2DF86235A58A}"/>
    <cellStyle name="Normal 9 2 2" xfId="512" xr:uid="{00000000-0005-0000-0000-00006C1E0000}"/>
    <cellStyle name="Normal 9 2 2 10" xfId="4877" xr:uid="{00000000-0005-0000-0000-00006D1E0000}"/>
    <cellStyle name="Normal 9 2 2 10 2" xfId="13316" xr:uid="{DC65A826-FAFB-4CF4-B4AA-55E4ECF2145E}"/>
    <cellStyle name="Normal 9 2 2 11" xfId="9098" xr:uid="{16CE6385-4AF5-483D-8B26-516F705FD301}"/>
    <cellStyle name="Normal 9 2 2 2" xfId="513" xr:uid="{00000000-0005-0000-0000-00006E1E0000}"/>
    <cellStyle name="Normal 9 2 2 2 10" xfId="9099" xr:uid="{010B78D7-9D6E-46A1-8CA0-C89E4D8E013C}"/>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5877" xr:uid="{7E7A4B3A-0A32-429C-A736-34AA9BE6CBB1}"/>
    <cellStyle name="Normal 9 2 2 2 2 2 2 2 3" xfId="11659" xr:uid="{53081BD2-9534-4A78-942E-1EE7A8EF0B32}"/>
    <cellStyle name="Normal 9 2 2 2 2 2 2 3" xfId="5293" xr:uid="{00000000-0005-0000-0000-0000741E0000}"/>
    <cellStyle name="Normal 9 2 2 2 2 2 2 3 2" xfId="13732" xr:uid="{983F2B0E-0E15-4F78-9D3A-04768F92E264}"/>
    <cellStyle name="Normal 9 2 2 2 2 2 2 4" xfId="9514" xr:uid="{12142643-C7D7-4A26-AE56-5A4EE8F18007}"/>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16290" xr:uid="{80F07A3F-8C60-4381-B045-948A453C1894}"/>
    <cellStyle name="Normal 9 2 2 2 2 2 3 2 3" xfId="12072" xr:uid="{8250AE03-1F4B-4CD1-9219-8666690FF543}"/>
    <cellStyle name="Normal 9 2 2 2 2 2 3 3" xfId="5706" xr:uid="{00000000-0005-0000-0000-0000781E0000}"/>
    <cellStyle name="Normal 9 2 2 2 2 2 3 3 2" xfId="14145" xr:uid="{3945589E-E786-4080-ACBE-263DDB8D0321}"/>
    <cellStyle name="Normal 9 2 2 2 2 2 3 4" xfId="9927" xr:uid="{9709453D-AF58-4437-B14C-00A7652634D2}"/>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16703" xr:uid="{EFC8FAF7-5F35-40E4-8573-71CDD7729CD9}"/>
    <cellStyle name="Normal 9 2 2 2 2 2 4 2 3" xfId="12485" xr:uid="{146B0CA0-D7FA-40A9-B14D-52F9B617856D}"/>
    <cellStyle name="Normal 9 2 2 2 2 2 4 3" xfId="6119" xr:uid="{00000000-0005-0000-0000-00007C1E0000}"/>
    <cellStyle name="Normal 9 2 2 2 2 2 4 3 2" xfId="14558" xr:uid="{94B9EC99-3D93-4D68-B1B5-7049570B3C42}"/>
    <cellStyle name="Normal 9 2 2 2 2 2 4 4" xfId="10340" xr:uid="{5A52C3CC-7D13-4F86-BA81-6C3E8A22F771}"/>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17116" xr:uid="{7080BC1B-2AF5-4BF3-A364-76FA342FE009}"/>
    <cellStyle name="Normal 9 2 2 2 2 2 5 2 3" xfId="12898" xr:uid="{AC05F765-DF92-4418-8227-9FCF6EFAEE54}"/>
    <cellStyle name="Normal 9 2 2 2 2 2 5 3" xfId="6532" xr:uid="{00000000-0005-0000-0000-0000801E0000}"/>
    <cellStyle name="Normal 9 2 2 2 2 2 5 3 2" xfId="14971" xr:uid="{277CE3BF-7EF5-4054-B5A7-6B4C7F8DE79C}"/>
    <cellStyle name="Normal 9 2 2 2 2 2 5 4" xfId="10753" xr:uid="{15AC6706-38F6-4A36-89DF-1D6AF2EE058A}"/>
    <cellStyle name="Normal 9 2 2 2 2 2 6" xfId="2661" xr:uid="{00000000-0005-0000-0000-0000811E0000}"/>
    <cellStyle name="Normal 9 2 2 2 2 2 6 2" xfId="6945" xr:uid="{00000000-0005-0000-0000-0000821E0000}"/>
    <cellStyle name="Normal 9 2 2 2 2 2 6 2 2" xfId="15384" xr:uid="{3F9AB9DB-BF2A-4EDD-9DA9-8A69528CD4C2}"/>
    <cellStyle name="Normal 9 2 2 2 2 2 6 3" xfId="11166" xr:uid="{A2BEB0F1-617F-4450-9AD3-E3C6B6057812}"/>
    <cellStyle name="Normal 9 2 2 2 2 2 7" xfId="4880" xr:uid="{00000000-0005-0000-0000-0000831E0000}"/>
    <cellStyle name="Normal 9 2 2 2 2 2 7 2" xfId="13319" xr:uid="{E6D6B239-0254-44CC-AAFF-9C4E06F8C8C6}"/>
    <cellStyle name="Normal 9 2 2 2 2 2 8" xfId="9101" xr:uid="{BEF4BF30-F75B-4048-9784-7261F0F35C37}"/>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5876" xr:uid="{4C7304F4-4B29-484B-BABF-4CF7616C8C29}"/>
    <cellStyle name="Normal 9 2 2 2 2 3 2 3" xfId="11658" xr:uid="{BDE97FC7-970E-4132-AE85-756ADFF2D93F}"/>
    <cellStyle name="Normal 9 2 2 2 2 3 3" xfId="5292" xr:uid="{00000000-0005-0000-0000-0000871E0000}"/>
    <cellStyle name="Normal 9 2 2 2 2 3 3 2" xfId="13731" xr:uid="{CCAC80E7-D1D5-4396-A034-4CE13935178F}"/>
    <cellStyle name="Normal 9 2 2 2 2 3 4" xfId="9513" xr:uid="{F78BEDE5-1F29-4892-8361-99E494E8CB9A}"/>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16289" xr:uid="{BE42C323-11F6-4C89-9490-E105B1A1D1AE}"/>
    <cellStyle name="Normal 9 2 2 2 2 4 2 3" xfId="12071" xr:uid="{C8790C9E-9B9A-4859-B222-7D5912A1F200}"/>
    <cellStyle name="Normal 9 2 2 2 2 4 3" xfId="5705" xr:uid="{00000000-0005-0000-0000-00008B1E0000}"/>
    <cellStyle name="Normal 9 2 2 2 2 4 3 2" xfId="14144" xr:uid="{0F2E7F2D-25F7-4580-AE01-9EF9667F51E8}"/>
    <cellStyle name="Normal 9 2 2 2 2 4 4" xfId="9926" xr:uid="{878A2115-EAF3-44F3-A185-DE5FD87B5037}"/>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16702" xr:uid="{45408D19-A502-43EF-B5C2-C2E80D1E35AA}"/>
    <cellStyle name="Normal 9 2 2 2 2 5 2 3" xfId="12484" xr:uid="{0912FA5D-917B-41C0-813D-91EE5DCC9ED0}"/>
    <cellStyle name="Normal 9 2 2 2 2 5 3" xfId="6118" xr:uid="{00000000-0005-0000-0000-00008F1E0000}"/>
    <cellStyle name="Normal 9 2 2 2 2 5 3 2" xfId="14557" xr:uid="{CE2E35E4-8B3F-426A-A0DE-02336668B332}"/>
    <cellStyle name="Normal 9 2 2 2 2 5 4" xfId="10339" xr:uid="{B10746C7-94C8-4E2E-83E4-1E03A08A2227}"/>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17115" xr:uid="{3C3DCD2C-3BC8-471F-B032-AFFE58864284}"/>
    <cellStyle name="Normal 9 2 2 2 2 6 2 3" xfId="12897" xr:uid="{98057B5C-C6EA-4C7C-AEBF-44E9F14FFBC0}"/>
    <cellStyle name="Normal 9 2 2 2 2 6 3" xfId="6531" xr:uid="{00000000-0005-0000-0000-0000931E0000}"/>
    <cellStyle name="Normal 9 2 2 2 2 6 3 2" xfId="14970" xr:uid="{96F637B7-23C5-4D8A-BDB3-F2E6026F924D}"/>
    <cellStyle name="Normal 9 2 2 2 2 6 4" xfId="10752" xr:uid="{DCCDEB70-D805-4666-983A-C152C5B27E1C}"/>
    <cellStyle name="Normal 9 2 2 2 2 7" xfId="2660" xr:uid="{00000000-0005-0000-0000-0000941E0000}"/>
    <cellStyle name="Normal 9 2 2 2 2 7 2" xfId="6944" xr:uid="{00000000-0005-0000-0000-0000951E0000}"/>
    <cellStyle name="Normal 9 2 2 2 2 7 2 2" xfId="15383" xr:uid="{BAFA9378-2F2C-4BA5-BD55-3F7A676C7118}"/>
    <cellStyle name="Normal 9 2 2 2 2 7 3" xfId="11165" xr:uid="{6E704650-12F6-4DB7-88AA-9C46380FE817}"/>
    <cellStyle name="Normal 9 2 2 2 2 8" xfId="4879" xr:uid="{00000000-0005-0000-0000-0000961E0000}"/>
    <cellStyle name="Normal 9 2 2 2 2 8 2" xfId="13318" xr:uid="{75011460-8863-4931-9230-0AB8595B70A1}"/>
    <cellStyle name="Normal 9 2 2 2 2 9" xfId="9100" xr:uid="{09ACF993-2AD4-4DF4-8E22-F8D0C9EC2B1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5878" xr:uid="{CE8EAEF8-E556-4965-8C89-5AC425BCBF29}"/>
    <cellStyle name="Normal 9 2 2 2 3 2 2 3" xfId="11660" xr:uid="{C08B053B-9CD7-4D76-94C1-A8DACDC4C662}"/>
    <cellStyle name="Normal 9 2 2 2 3 2 3" xfId="5294" xr:uid="{00000000-0005-0000-0000-00009B1E0000}"/>
    <cellStyle name="Normal 9 2 2 2 3 2 3 2" xfId="13733" xr:uid="{BC453D6B-C459-4E00-8C59-DD67035B8707}"/>
    <cellStyle name="Normal 9 2 2 2 3 2 4" xfId="9515" xr:uid="{22579E3B-622C-4E89-A4E2-E922005BBE0C}"/>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16291" xr:uid="{213C2524-8F0B-4D27-A162-47A552FF915D}"/>
    <cellStyle name="Normal 9 2 2 2 3 3 2 3" xfId="12073" xr:uid="{AA545B9C-D8BE-4B47-9C48-0AE2A8132275}"/>
    <cellStyle name="Normal 9 2 2 2 3 3 3" xfId="5707" xr:uid="{00000000-0005-0000-0000-00009F1E0000}"/>
    <cellStyle name="Normal 9 2 2 2 3 3 3 2" xfId="14146" xr:uid="{D7B6BCE2-6767-433B-B454-A0B0BB302CC4}"/>
    <cellStyle name="Normal 9 2 2 2 3 3 4" xfId="9928" xr:uid="{6B370F07-2ECB-4C86-BD87-D4521543D6C1}"/>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16704" xr:uid="{349820A9-3261-4697-B20A-CDF3EDDB1399}"/>
    <cellStyle name="Normal 9 2 2 2 3 4 2 3" xfId="12486" xr:uid="{7F75B441-B23C-4795-B894-6518BED4D063}"/>
    <cellStyle name="Normal 9 2 2 2 3 4 3" xfId="6120" xr:uid="{00000000-0005-0000-0000-0000A31E0000}"/>
    <cellStyle name="Normal 9 2 2 2 3 4 3 2" xfId="14559" xr:uid="{1502932F-1AC2-4FB6-A7FD-F135CB524B10}"/>
    <cellStyle name="Normal 9 2 2 2 3 4 4" xfId="10341" xr:uid="{9E030746-2821-41FF-ABA8-43C429344C2F}"/>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17117" xr:uid="{5EE26EB9-40B2-436C-AA20-66EEC316820F}"/>
    <cellStyle name="Normal 9 2 2 2 3 5 2 3" xfId="12899" xr:uid="{6F9929FC-0E85-4C86-B06F-575807F9C24B}"/>
    <cellStyle name="Normal 9 2 2 2 3 5 3" xfId="6533" xr:uid="{00000000-0005-0000-0000-0000A71E0000}"/>
    <cellStyle name="Normal 9 2 2 2 3 5 3 2" xfId="14972" xr:uid="{FB4A5FED-B5F1-4E10-8AC7-2A6317E6C15F}"/>
    <cellStyle name="Normal 9 2 2 2 3 5 4" xfId="10754" xr:uid="{73C4051F-6E11-4E38-BB7E-87364564EA34}"/>
    <cellStyle name="Normal 9 2 2 2 3 6" xfId="2662" xr:uid="{00000000-0005-0000-0000-0000A81E0000}"/>
    <cellStyle name="Normal 9 2 2 2 3 6 2" xfId="6946" xr:uid="{00000000-0005-0000-0000-0000A91E0000}"/>
    <cellStyle name="Normal 9 2 2 2 3 6 2 2" xfId="15385" xr:uid="{759184D2-2A11-4B51-ACCB-D8FBDB363353}"/>
    <cellStyle name="Normal 9 2 2 2 3 6 3" xfId="11167" xr:uid="{ED2D89B2-EC31-43AD-86C1-1307BB6AF1E9}"/>
    <cellStyle name="Normal 9 2 2 2 3 7" xfId="4881" xr:uid="{00000000-0005-0000-0000-0000AA1E0000}"/>
    <cellStyle name="Normal 9 2 2 2 3 7 2" xfId="13320" xr:uid="{3D9E52C8-2ACE-437A-8661-EC7BE2BD82C3}"/>
    <cellStyle name="Normal 9 2 2 2 3 8" xfId="9102" xr:uid="{5F6A1A27-9AC3-4D4C-A69A-5D38916E3817}"/>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5875" xr:uid="{1E9B064E-E479-4338-90A8-4175B3EC730B}"/>
    <cellStyle name="Normal 9 2 2 2 4 2 3" xfId="11657" xr:uid="{0B7DE701-6495-4E96-8415-E0E8F44E5E18}"/>
    <cellStyle name="Normal 9 2 2 2 4 3" xfId="5291" xr:uid="{00000000-0005-0000-0000-0000AE1E0000}"/>
    <cellStyle name="Normal 9 2 2 2 4 3 2" xfId="13730" xr:uid="{5B0501AE-B3EB-489E-9873-58393D3A76F4}"/>
    <cellStyle name="Normal 9 2 2 2 4 4" xfId="9512" xr:uid="{52164021-7212-4F92-88D8-9B5E18E60ACC}"/>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16288" xr:uid="{34ADEB9B-8968-4F07-A6CE-0A6A5353EE64}"/>
    <cellStyle name="Normal 9 2 2 2 5 2 3" xfId="12070" xr:uid="{62DFB861-15CF-465E-AC9E-835BDAF9D96B}"/>
    <cellStyle name="Normal 9 2 2 2 5 3" xfId="5704" xr:uid="{00000000-0005-0000-0000-0000B21E0000}"/>
    <cellStyle name="Normal 9 2 2 2 5 3 2" xfId="14143" xr:uid="{1460D518-B4D3-4B18-A905-5B73938CDEE2}"/>
    <cellStyle name="Normal 9 2 2 2 5 4" xfId="9925" xr:uid="{9C480C28-CDEF-45B0-BC6B-58B06C35229F}"/>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16701" xr:uid="{A416D03F-62CF-4C07-950D-D9DA909F02F4}"/>
    <cellStyle name="Normal 9 2 2 2 6 2 3" xfId="12483" xr:uid="{A1D32E95-5C52-45D4-9DA3-F87A87ABCE80}"/>
    <cellStyle name="Normal 9 2 2 2 6 3" xfId="6117" xr:uid="{00000000-0005-0000-0000-0000B61E0000}"/>
    <cellStyle name="Normal 9 2 2 2 6 3 2" xfId="14556" xr:uid="{E9F775FB-A127-49A7-9F59-F5249869E7E5}"/>
    <cellStyle name="Normal 9 2 2 2 6 4" xfId="10338" xr:uid="{84480553-233E-473E-8F45-EBF2B378B6CB}"/>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17114" xr:uid="{9EF5A425-63C1-4C24-8C75-27CF289A500A}"/>
    <cellStyle name="Normal 9 2 2 2 7 2 3" xfId="12896" xr:uid="{0C6F1421-A349-401C-8A39-C6E0A9CB7C97}"/>
    <cellStyle name="Normal 9 2 2 2 7 3" xfId="6530" xr:uid="{00000000-0005-0000-0000-0000BA1E0000}"/>
    <cellStyle name="Normal 9 2 2 2 7 3 2" xfId="14969" xr:uid="{8C3FCB45-EBE6-4BFF-8A57-887C6CD662F3}"/>
    <cellStyle name="Normal 9 2 2 2 7 4" xfId="10751" xr:uid="{11E56162-1CC4-4D7E-9632-67E5050FA8F7}"/>
    <cellStyle name="Normal 9 2 2 2 8" xfId="2659" xr:uid="{00000000-0005-0000-0000-0000BB1E0000}"/>
    <cellStyle name="Normal 9 2 2 2 8 2" xfId="6943" xr:uid="{00000000-0005-0000-0000-0000BC1E0000}"/>
    <cellStyle name="Normal 9 2 2 2 8 2 2" xfId="15382" xr:uid="{07CF6C90-0C49-4283-8112-C29B6629E4E8}"/>
    <cellStyle name="Normal 9 2 2 2 8 3" xfId="11164" xr:uid="{5A23C0DF-79CC-47A9-A997-63A00C9ABE68}"/>
    <cellStyle name="Normal 9 2 2 2 9" xfId="4878" xr:uid="{00000000-0005-0000-0000-0000BD1E0000}"/>
    <cellStyle name="Normal 9 2 2 2 9 2" xfId="13317" xr:uid="{E13110D0-5CDC-4516-B6FE-5C9F57D0F926}"/>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5880" xr:uid="{573B8CF5-47C1-4646-B22D-546FF62118F0}"/>
    <cellStyle name="Normal 9 2 2 3 2 2 2 3" xfId="11662" xr:uid="{11840FEE-26D2-4019-81A5-10A1DC8F31F4}"/>
    <cellStyle name="Normal 9 2 2 3 2 2 3" xfId="5296" xr:uid="{00000000-0005-0000-0000-0000C31E0000}"/>
    <cellStyle name="Normal 9 2 2 3 2 2 3 2" xfId="13735" xr:uid="{82537599-1808-4114-8CEE-5BBB61769450}"/>
    <cellStyle name="Normal 9 2 2 3 2 2 4" xfId="9517" xr:uid="{64DD9869-DAA0-42C5-888B-B97FC4A9DD29}"/>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16293" xr:uid="{A3F7C313-0526-49EA-98B3-3D6000029B8C}"/>
    <cellStyle name="Normal 9 2 2 3 2 3 2 3" xfId="12075" xr:uid="{58F2E2F9-797C-4180-8302-EB6C65D3159F}"/>
    <cellStyle name="Normal 9 2 2 3 2 3 3" xfId="5709" xr:uid="{00000000-0005-0000-0000-0000C71E0000}"/>
    <cellStyle name="Normal 9 2 2 3 2 3 3 2" xfId="14148" xr:uid="{E5AE3EB0-E6C4-479E-8054-576EBB9B6923}"/>
    <cellStyle name="Normal 9 2 2 3 2 3 4" xfId="9930" xr:uid="{F1FCE320-2B04-4B63-8F2B-7597AF4ABE9F}"/>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16706" xr:uid="{C5769BB1-5C6F-4EA3-9A46-C4860B4AE09B}"/>
    <cellStyle name="Normal 9 2 2 3 2 4 2 3" xfId="12488" xr:uid="{47007474-F45F-497F-9E92-3E841041D133}"/>
    <cellStyle name="Normal 9 2 2 3 2 4 3" xfId="6122" xr:uid="{00000000-0005-0000-0000-0000CB1E0000}"/>
    <cellStyle name="Normal 9 2 2 3 2 4 3 2" xfId="14561" xr:uid="{50554886-86EE-4564-8934-0711BEC3D4C4}"/>
    <cellStyle name="Normal 9 2 2 3 2 4 4" xfId="10343" xr:uid="{47F29DD5-80B9-48FB-925D-CB6A3D7AD6CE}"/>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17119" xr:uid="{8D973CC7-E402-4092-9F53-247C9167DCE9}"/>
    <cellStyle name="Normal 9 2 2 3 2 5 2 3" xfId="12901" xr:uid="{795A7104-0840-4214-B0CA-BD2F8676D78D}"/>
    <cellStyle name="Normal 9 2 2 3 2 5 3" xfId="6535" xr:uid="{00000000-0005-0000-0000-0000CF1E0000}"/>
    <cellStyle name="Normal 9 2 2 3 2 5 3 2" xfId="14974" xr:uid="{F1662457-1C00-4E98-8FC8-93892344F5E1}"/>
    <cellStyle name="Normal 9 2 2 3 2 5 4" xfId="10756" xr:uid="{53055DA3-B517-4DBF-BFD6-FC1283836ABD}"/>
    <cellStyle name="Normal 9 2 2 3 2 6" xfId="2664" xr:uid="{00000000-0005-0000-0000-0000D01E0000}"/>
    <cellStyle name="Normal 9 2 2 3 2 6 2" xfId="6948" xr:uid="{00000000-0005-0000-0000-0000D11E0000}"/>
    <cellStyle name="Normal 9 2 2 3 2 6 2 2" xfId="15387" xr:uid="{F61D7942-8FA4-42E9-A4C5-877299F73F7E}"/>
    <cellStyle name="Normal 9 2 2 3 2 6 3" xfId="11169" xr:uid="{239DDFF9-E514-4D71-A965-F0578D6B031E}"/>
    <cellStyle name="Normal 9 2 2 3 2 7" xfId="4883" xr:uid="{00000000-0005-0000-0000-0000D21E0000}"/>
    <cellStyle name="Normal 9 2 2 3 2 7 2" xfId="13322" xr:uid="{089CEAD0-C001-4998-AEA3-E664E7408A67}"/>
    <cellStyle name="Normal 9 2 2 3 2 8" xfId="9104" xr:uid="{18EF5F19-8923-4165-9F1C-2A9F47BBEC06}"/>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5879" xr:uid="{813F8181-EE71-4072-B83E-CCC6FC94A6C4}"/>
    <cellStyle name="Normal 9 2 2 3 3 2 3" xfId="11661" xr:uid="{30656EC9-1203-4FD6-B32B-74A5A4337136}"/>
    <cellStyle name="Normal 9 2 2 3 3 3" xfId="5295" xr:uid="{00000000-0005-0000-0000-0000D61E0000}"/>
    <cellStyle name="Normal 9 2 2 3 3 3 2" xfId="13734" xr:uid="{B6AE6CEC-9C7F-4875-953C-DFEACF7AE69D}"/>
    <cellStyle name="Normal 9 2 2 3 3 4" xfId="9516" xr:uid="{88636515-BB52-4629-8C0B-0A93418542F0}"/>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16292" xr:uid="{C54572C1-5DFE-4921-BAC6-DFDCD9CD51FC}"/>
    <cellStyle name="Normal 9 2 2 3 4 2 3" xfId="12074" xr:uid="{6EEE30E3-D41A-447C-B916-4C6DB0C071A3}"/>
    <cellStyle name="Normal 9 2 2 3 4 3" xfId="5708" xr:uid="{00000000-0005-0000-0000-0000DA1E0000}"/>
    <cellStyle name="Normal 9 2 2 3 4 3 2" xfId="14147" xr:uid="{A8DE1DFF-BF29-4D29-AB83-D1E9CC41FB62}"/>
    <cellStyle name="Normal 9 2 2 3 4 4" xfId="9929" xr:uid="{8C63513C-9319-45D4-9ED7-74BD190F5D44}"/>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16705" xr:uid="{4A1352C1-8623-4016-8D89-9E946BDCD97E}"/>
    <cellStyle name="Normal 9 2 2 3 5 2 3" xfId="12487" xr:uid="{C5C19614-C341-4569-8A9A-EC934DB75BB8}"/>
    <cellStyle name="Normal 9 2 2 3 5 3" xfId="6121" xr:uid="{00000000-0005-0000-0000-0000DE1E0000}"/>
    <cellStyle name="Normal 9 2 2 3 5 3 2" xfId="14560" xr:uid="{E8E2CE4D-273F-4283-8296-30DF34B17E7E}"/>
    <cellStyle name="Normal 9 2 2 3 5 4" xfId="10342" xr:uid="{F96BEC20-1A9F-403C-8D6E-831E3A2B310D}"/>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17118" xr:uid="{3E58A192-107B-4C8D-8213-646E48DDE861}"/>
    <cellStyle name="Normal 9 2 2 3 6 2 3" xfId="12900" xr:uid="{0BC6DC00-9BD0-4C9D-82AF-807E2759E24E}"/>
    <cellStyle name="Normal 9 2 2 3 6 3" xfId="6534" xr:uid="{00000000-0005-0000-0000-0000E21E0000}"/>
    <cellStyle name="Normal 9 2 2 3 6 3 2" xfId="14973" xr:uid="{7947E626-587A-4FA9-9947-2127BD51951E}"/>
    <cellStyle name="Normal 9 2 2 3 6 4" xfId="10755" xr:uid="{0B35824F-51DD-48D0-A11F-E0C9A008ACE3}"/>
    <cellStyle name="Normal 9 2 2 3 7" xfId="2663" xr:uid="{00000000-0005-0000-0000-0000E31E0000}"/>
    <cellStyle name="Normal 9 2 2 3 7 2" xfId="6947" xr:uid="{00000000-0005-0000-0000-0000E41E0000}"/>
    <cellStyle name="Normal 9 2 2 3 7 2 2" xfId="15386" xr:uid="{E06AE7BE-F2D0-4C78-A1DD-5F2494BA9D20}"/>
    <cellStyle name="Normal 9 2 2 3 7 3" xfId="11168" xr:uid="{32D740E4-0628-490B-A23B-BA2245A935CF}"/>
    <cellStyle name="Normal 9 2 2 3 8" xfId="4882" xr:uid="{00000000-0005-0000-0000-0000E51E0000}"/>
    <cellStyle name="Normal 9 2 2 3 8 2" xfId="13321" xr:uid="{3E112129-92AE-4A9E-917B-CBAD32618816}"/>
    <cellStyle name="Normal 9 2 2 3 9" xfId="9103" xr:uid="{AEA23549-780A-4479-A309-70A347A241F3}"/>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5881" xr:uid="{0B380789-4A4C-4CAF-B761-58296617D1C3}"/>
    <cellStyle name="Normal 9 2 2 4 2 2 3" xfId="11663" xr:uid="{EA573881-262E-4B30-A6F5-6DB564252837}"/>
    <cellStyle name="Normal 9 2 2 4 2 3" xfId="5297" xr:uid="{00000000-0005-0000-0000-0000EA1E0000}"/>
    <cellStyle name="Normal 9 2 2 4 2 3 2" xfId="13736" xr:uid="{AA48CE4D-FF2F-4CEF-ABFB-B9A0F7D8CD07}"/>
    <cellStyle name="Normal 9 2 2 4 2 4" xfId="9518" xr:uid="{25C305EB-DE0D-4C93-B253-52FA79D90CCC}"/>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16294" xr:uid="{AD03B50D-008D-4819-ACBC-C598887AF3C1}"/>
    <cellStyle name="Normal 9 2 2 4 3 2 3" xfId="12076" xr:uid="{87853EFE-6E5A-41E9-A566-0359BB6F1199}"/>
    <cellStyle name="Normal 9 2 2 4 3 3" xfId="5710" xr:uid="{00000000-0005-0000-0000-0000EE1E0000}"/>
    <cellStyle name="Normal 9 2 2 4 3 3 2" xfId="14149" xr:uid="{A029D940-BA5F-4080-AC62-3B34F32B523C}"/>
    <cellStyle name="Normal 9 2 2 4 3 4" xfId="9931" xr:uid="{DB8B75A2-57A4-4FB3-AC56-67D491C7B765}"/>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16707" xr:uid="{34AF1D62-8E13-4693-B043-CFD914178606}"/>
    <cellStyle name="Normal 9 2 2 4 4 2 3" xfId="12489" xr:uid="{79AFD511-15D0-4ADC-B6E5-34B4CEFEA5EE}"/>
    <cellStyle name="Normal 9 2 2 4 4 3" xfId="6123" xr:uid="{00000000-0005-0000-0000-0000F21E0000}"/>
    <cellStyle name="Normal 9 2 2 4 4 3 2" xfId="14562" xr:uid="{B97D33BB-1D83-43E7-A5F7-B57B60B89D71}"/>
    <cellStyle name="Normal 9 2 2 4 4 4" xfId="10344" xr:uid="{C5208CBB-E678-48CD-85CF-207892344D0E}"/>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17120" xr:uid="{C57CFFCD-7DCA-4198-8DB1-2E1D05387BD4}"/>
    <cellStyle name="Normal 9 2 2 4 5 2 3" xfId="12902" xr:uid="{56B76398-37AF-48FF-A638-282AE8D2F1A9}"/>
    <cellStyle name="Normal 9 2 2 4 5 3" xfId="6536" xr:uid="{00000000-0005-0000-0000-0000F61E0000}"/>
    <cellStyle name="Normal 9 2 2 4 5 3 2" xfId="14975" xr:uid="{F562D815-91EE-4D0D-8073-C58376B6A7E1}"/>
    <cellStyle name="Normal 9 2 2 4 5 4" xfId="10757" xr:uid="{08985CA6-C05D-4325-9A63-C44BAE770B31}"/>
    <cellStyle name="Normal 9 2 2 4 6" xfId="2665" xr:uid="{00000000-0005-0000-0000-0000F71E0000}"/>
    <cellStyle name="Normal 9 2 2 4 6 2" xfId="6949" xr:uid="{00000000-0005-0000-0000-0000F81E0000}"/>
    <cellStyle name="Normal 9 2 2 4 6 2 2" xfId="15388" xr:uid="{F98448E2-E7B5-49EB-AEA4-CCDACD9EC3D8}"/>
    <cellStyle name="Normal 9 2 2 4 6 3" xfId="11170" xr:uid="{2DA5AB48-BCB3-4119-B877-96C9420B7A65}"/>
    <cellStyle name="Normal 9 2 2 4 7" xfId="4884" xr:uid="{00000000-0005-0000-0000-0000F91E0000}"/>
    <cellStyle name="Normal 9 2 2 4 7 2" xfId="13323" xr:uid="{AAB10BD3-0B42-4210-850B-BA531E69C723}"/>
    <cellStyle name="Normal 9 2 2 4 8" xfId="9105" xr:uid="{2889C744-7541-492E-96A8-8FD15ACAE4FA}"/>
    <cellStyle name="Normal 9 2 2 5" xfId="979" xr:uid="{00000000-0005-0000-0000-0000FA1E0000}"/>
    <cellStyle name="Normal 9 2 2 5 2" xfId="3212" xr:uid="{00000000-0005-0000-0000-0000FB1E0000}"/>
    <cellStyle name="Normal 9 2 2 5 2 2" xfId="7435" xr:uid="{00000000-0005-0000-0000-0000FC1E0000}"/>
    <cellStyle name="Normal 9 2 2 5 2 2 2" xfId="15874" xr:uid="{A11ADBEE-52D6-4DA6-99D7-3989BFE90A4F}"/>
    <cellStyle name="Normal 9 2 2 5 2 3" xfId="11656" xr:uid="{883A797E-DAEC-43EA-B2F7-9D0BA46B7CBB}"/>
    <cellStyle name="Normal 9 2 2 5 3" xfId="5290" xr:uid="{00000000-0005-0000-0000-0000FD1E0000}"/>
    <cellStyle name="Normal 9 2 2 5 3 2" xfId="13729" xr:uid="{5D39CDFF-C526-4148-85CF-16F8784E25FC}"/>
    <cellStyle name="Normal 9 2 2 5 4" xfId="9511" xr:uid="{32C6D85A-C56E-4B50-9FEA-4A0106CAB9A1}"/>
    <cellStyle name="Normal 9 2 2 6" xfId="1395" xr:uid="{00000000-0005-0000-0000-0000FE1E0000}"/>
    <cellStyle name="Normal 9 2 2 6 2" xfId="3625" xr:uid="{00000000-0005-0000-0000-0000FF1E0000}"/>
    <cellStyle name="Normal 9 2 2 6 2 2" xfId="7848" xr:uid="{00000000-0005-0000-0000-0000001F0000}"/>
    <cellStyle name="Normal 9 2 2 6 2 2 2" xfId="16287" xr:uid="{425CA4CB-D9AA-4AE2-B22A-BE815E26FC42}"/>
    <cellStyle name="Normal 9 2 2 6 2 3" xfId="12069" xr:uid="{22426C77-C591-4015-93BB-72EBD7B74071}"/>
    <cellStyle name="Normal 9 2 2 6 3" xfId="5703" xr:uid="{00000000-0005-0000-0000-0000011F0000}"/>
    <cellStyle name="Normal 9 2 2 6 3 2" xfId="14142" xr:uid="{E6C33330-15AC-47AE-998A-965705866EA6}"/>
    <cellStyle name="Normal 9 2 2 6 4" xfId="9924" xr:uid="{B5A7F3F9-3A8D-4703-8211-E384BB6129CE}"/>
    <cellStyle name="Normal 9 2 2 7" xfId="1808" xr:uid="{00000000-0005-0000-0000-0000021F0000}"/>
    <cellStyle name="Normal 9 2 2 7 2" xfId="4038" xr:uid="{00000000-0005-0000-0000-0000031F0000}"/>
    <cellStyle name="Normal 9 2 2 7 2 2" xfId="8261" xr:uid="{00000000-0005-0000-0000-0000041F0000}"/>
    <cellStyle name="Normal 9 2 2 7 2 2 2" xfId="16700" xr:uid="{E0FEC5AE-E6F5-476A-B4E8-38765573FE29}"/>
    <cellStyle name="Normal 9 2 2 7 2 3" xfId="12482" xr:uid="{F30C5C80-DA2B-47D9-A40C-1250189F3D1F}"/>
    <cellStyle name="Normal 9 2 2 7 3" xfId="6116" xr:uid="{00000000-0005-0000-0000-0000051F0000}"/>
    <cellStyle name="Normal 9 2 2 7 3 2" xfId="14555" xr:uid="{F3C52E08-FE42-46E3-834F-A1AE4E6ED9A7}"/>
    <cellStyle name="Normal 9 2 2 7 4" xfId="10337" xr:uid="{22B88AAC-7FD3-45D3-BE60-B46AC5E1F847}"/>
    <cellStyle name="Normal 9 2 2 8" xfId="2222" xr:uid="{00000000-0005-0000-0000-0000061F0000}"/>
    <cellStyle name="Normal 9 2 2 8 2" xfId="4451" xr:uid="{00000000-0005-0000-0000-0000071F0000}"/>
    <cellStyle name="Normal 9 2 2 8 2 2" xfId="8674" xr:uid="{00000000-0005-0000-0000-0000081F0000}"/>
    <cellStyle name="Normal 9 2 2 8 2 2 2" xfId="17113" xr:uid="{841AB10D-FFF8-4C37-BAC5-6FF01ACD7A76}"/>
    <cellStyle name="Normal 9 2 2 8 2 3" xfId="12895" xr:uid="{D57336BD-5AFD-4923-8553-4AC66A4DC6AF}"/>
    <cellStyle name="Normal 9 2 2 8 3" xfId="6529" xr:uid="{00000000-0005-0000-0000-0000091F0000}"/>
    <cellStyle name="Normal 9 2 2 8 3 2" xfId="14968" xr:uid="{010FC14D-68D4-4637-9E9D-73B02242B40D}"/>
    <cellStyle name="Normal 9 2 2 8 4" xfId="10750" xr:uid="{C1419959-EF1A-4142-84A3-3B36EF15B8E1}"/>
    <cellStyle name="Normal 9 2 2 9" xfId="2658" xr:uid="{00000000-0005-0000-0000-00000A1F0000}"/>
    <cellStyle name="Normal 9 2 2 9 2" xfId="6942" xr:uid="{00000000-0005-0000-0000-00000B1F0000}"/>
    <cellStyle name="Normal 9 2 2 9 2 2" xfId="15381" xr:uid="{D2F0FC45-A4F0-432F-87D6-CDDF71B291EA}"/>
    <cellStyle name="Normal 9 2 2 9 3" xfId="11163" xr:uid="{35E2EDFC-DC05-4AB1-957D-4F3A0B3ED0CC}"/>
    <cellStyle name="Normal 9 2 3" xfId="520" xr:uid="{00000000-0005-0000-0000-00000C1F0000}"/>
    <cellStyle name="Normal 9 2 3 10" xfId="9106" xr:uid="{4D3438D0-633F-49F6-BAC0-8C4E9240C83B}"/>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5884" xr:uid="{711023B5-44D0-41D9-92D1-E57FDB1E8996}"/>
    <cellStyle name="Normal 9 2 3 2 2 2 2 3" xfId="11666" xr:uid="{0B7FF251-3C30-4993-BD69-FECD56B93DCD}"/>
    <cellStyle name="Normal 9 2 3 2 2 2 3" xfId="5300" xr:uid="{00000000-0005-0000-0000-0000121F0000}"/>
    <cellStyle name="Normal 9 2 3 2 2 2 3 2" xfId="13739" xr:uid="{0AAA0E02-965B-4F78-84D6-4BD195F1AD2E}"/>
    <cellStyle name="Normal 9 2 3 2 2 2 4" xfId="9521" xr:uid="{90BFC2D7-F46B-476F-BA3E-7F8B3E8568CC}"/>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16297" xr:uid="{6E5F112F-1972-4C4A-B2F1-B56276CCB0C0}"/>
    <cellStyle name="Normal 9 2 3 2 2 3 2 3" xfId="12079" xr:uid="{82E88EFD-8B55-4F31-BE58-292EB00C5646}"/>
    <cellStyle name="Normal 9 2 3 2 2 3 3" xfId="5713" xr:uid="{00000000-0005-0000-0000-0000161F0000}"/>
    <cellStyle name="Normal 9 2 3 2 2 3 3 2" xfId="14152" xr:uid="{2EE8F8A5-82A1-4F33-BFB4-D7BCEB5B9895}"/>
    <cellStyle name="Normal 9 2 3 2 2 3 4" xfId="9934" xr:uid="{5DD362EE-3D14-4E1F-BA7B-C9FF11E6154C}"/>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16710" xr:uid="{E503216D-9D4C-4F49-AA39-2E42DD745050}"/>
    <cellStyle name="Normal 9 2 3 2 2 4 2 3" xfId="12492" xr:uid="{10DDD1AE-E799-4AA9-B274-4C648BA2A324}"/>
    <cellStyle name="Normal 9 2 3 2 2 4 3" xfId="6126" xr:uid="{00000000-0005-0000-0000-00001A1F0000}"/>
    <cellStyle name="Normal 9 2 3 2 2 4 3 2" xfId="14565" xr:uid="{54718DEA-3D2A-4F12-A433-EF2D775A7BCF}"/>
    <cellStyle name="Normal 9 2 3 2 2 4 4" xfId="10347" xr:uid="{712B2AA8-66D9-421A-8E8C-FB5DF28CE3C2}"/>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17123" xr:uid="{79FE0698-1084-44BB-BEF8-F8CF182BD614}"/>
    <cellStyle name="Normal 9 2 3 2 2 5 2 3" xfId="12905" xr:uid="{F6E77363-EFBD-4D95-AFB6-94C85D0A5FA6}"/>
    <cellStyle name="Normal 9 2 3 2 2 5 3" xfId="6539" xr:uid="{00000000-0005-0000-0000-00001E1F0000}"/>
    <cellStyle name="Normal 9 2 3 2 2 5 3 2" xfId="14978" xr:uid="{546E098F-26B1-4CC5-B277-AADF6E649F38}"/>
    <cellStyle name="Normal 9 2 3 2 2 5 4" xfId="10760" xr:uid="{E5B69F25-EB87-480C-AE27-71E6440BE5AA}"/>
    <cellStyle name="Normal 9 2 3 2 2 6" xfId="2668" xr:uid="{00000000-0005-0000-0000-00001F1F0000}"/>
    <cellStyle name="Normal 9 2 3 2 2 6 2" xfId="6952" xr:uid="{00000000-0005-0000-0000-0000201F0000}"/>
    <cellStyle name="Normal 9 2 3 2 2 6 2 2" xfId="15391" xr:uid="{A38720B8-AA58-475C-8657-1BCEE335A81F}"/>
    <cellStyle name="Normal 9 2 3 2 2 6 3" xfId="11173" xr:uid="{80D5D92A-3FFA-4011-ACE8-DE7FBA927ED5}"/>
    <cellStyle name="Normal 9 2 3 2 2 7" xfId="4887" xr:uid="{00000000-0005-0000-0000-0000211F0000}"/>
    <cellStyle name="Normal 9 2 3 2 2 7 2" xfId="13326" xr:uid="{052F34AE-0D7F-4A4E-A6BB-9A20BCCC413A}"/>
    <cellStyle name="Normal 9 2 3 2 2 8" xfId="9108" xr:uid="{FBA3773D-4C93-4B58-8B8D-33D976EA263F}"/>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5883" xr:uid="{C3EBE3C3-0025-4CE8-BE11-44605368D4DC}"/>
    <cellStyle name="Normal 9 2 3 2 3 2 3" xfId="11665" xr:uid="{051D9F91-3051-4067-9944-5C9E1C2578BC}"/>
    <cellStyle name="Normal 9 2 3 2 3 3" xfId="5299" xr:uid="{00000000-0005-0000-0000-0000251F0000}"/>
    <cellStyle name="Normal 9 2 3 2 3 3 2" xfId="13738" xr:uid="{86207BF3-D9D8-4813-BF9C-15CB8CA2EAA3}"/>
    <cellStyle name="Normal 9 2 3 2 3 4" xfId="9520" xr:uid="{C7A30F24-F901-43E2-B992-7661D6FFAB6C}"/>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16296" xr:uid="{48D12B9B-7B2C-4A65-A064-23859B049F18}"/>
    <cellStyle name="Normal 9 2 3 2 4 2 3" xfId="12078" xr:uid="{31EDDE7E-4B51-48AC-A530-3FAF8101197D}"/>
    <cellStyle name="Normal 9 2 3 2 4 3" xfId="5712" xr:uid="{00000000-0005-0000-0000-0000291F0000}"/>
    <cellStyle name="Normal 9 2 3 2 4 3 2" xfId="14151" xr:uid="{106FBF65-9604-44B6-A08B-272350702907}"/>
    <cellStyle name="Normal 9 2 3 2 4 4" xfId="9933" xr:uid="{245EDAE9-E517-4F2A-89CA-759745EF9F78}"/>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16709" xr:uid="{1D6EBF25-1D80-45B6-A3ED-B0EBED9719BF}"/>
    <cellStyle name="Normal 9 2 3 2 5 2 3" xfId="12491" xr:uid="{7608407F-2C54-404F-8D96-988380E6DA98}"/>
    <cellStyle name="Normal 9 2 3 2 5 3" xfId="6125" xr:uid="{00000000-0005-0000-0000-00002D1F0000}"/>
    <cellStyle name="Normal 9 2 3 2 5 3 2" xfId="14564" xr:uid="{164C5331-7BF7-4724-8333-C7F5F432D8FF}"/>
    <cellStyle name="Normal 9 2 3 2 5 4" xfId="10346" xr:uid="{032CBDFA-35FC-4FDC-8C25-EE80CF62095E}"/>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17122" xr:uid="{DAD80700-CCAE-49C2-9B8E-1778BEFB29A1}"/>
    <cellStyle name="Normal 9 2 3 2 6 2 3" xfId="12904" xr:uid="{0E4DF9BF-459B-410F-8F6B-CBD614F5D3EA}"/>
    <cellStyle name="Normal 9 2 3 2 6 3" xfId="6538" xr:uid="{00000000-0005-0000-0000-0000311F0000}"/>
    <cellStyle name="Normal 9 2 3 2 6 3 2" xfId="14977" xr:uid="{F3EF4039-C183-4F06-B6F1-65D36D73CD6F}"/>
    <cellStyle name="Normal 9 2 3 2 6 4" xfId="10759" xr:uid="{70BCEEBF-FFDB-4C36-9C0C-2C4F82C28938}"/>
    <cellStyle name="Normal 9 2 3 2 7" xfId="2667" xr:uid="{00000000-0005-0000-0000-0000321F0000}"/>
    <cellStyle name="Normal 9 2 3 2 7 2" xfId="6951" xr:uid="{00000000-0005-0000-0000-0000331F0000}"/>
    <cellStyle name="Normal 9 2 3 2 7 2 2" xfId="15390" xr:uid="{AF8C09E0-560A-4654-895A-2085E7774045}"/>
    <cellStyle name="Normal 9 2 3 2 7 3" xfId="11172" xr:uid="{B108FA9D-4761-4DE0-9A95-B7378CF842FC}"/>
    <cellStyle name="Normal 9 2 3 2 8" xfId="4886" xr:uid="{00000000-0005-0000-0000-0000341F0000}"/>
    <cellStyle name="Normal 9 2 3 2 8 2" xfId="13325" xr:uid="{49A94E5F-C140-4CF9-94EF-BB0F921B8185}"/>
    <cellStyle name="Normal 9 2 3 2 9" xfId="9107" xr:uid="{31855802-431D-4747-86E8-400723360192}"/>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5885" xr:uid="{CA7D1ADF-7161-43B8-BAF2-F7C858BA2AFF}"/>
    <cellStyle name="Normal 9 2 3 3 2 2 3" xfId="11667" xr:uid="{748A7CF8-3EB6-4149-B48D-8168BD6647DB}"/>
    <cellStyle name="Normal 9 2 3 3 2 3" xfId="5301" xr:uid="{00000000-0005-0000-0000-0000391F0000}"/>
    <cellStyle name="Normal 9 2 3 3 2 3 2" xfId="13740" xr:uid="{80715531-02F1-4ACC-8DD0-E25EE2B1B4E1}"/>
    <cellStyle name="Normal 9 2 3 3 2 4" xfId="9522" xr:uid="{FF05FE71-445C-475D-86F5-4773EF9ED30A}"/>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16298" xr:uid="{3E18EDE5-1113-4335-9802-171306D1EBE6}"/>
    <cellStyle name="Normal 9 2 3 3 3 2 3" xfId="12080" xr:uid="{87F9A06A-372D-498A-954B-EE978787D134}"/>
    <cellStyle name="Normal 9 2 3 3 3 3" xfId="5714" xr:uid="{00000000-0005-0000-0000-00003D1F0000}"/>
    <cellStyle name="Normal 9 2 3 3 3 3 2" xfId="14153" xr:uid="{4FC68548-3417-452C-8C49-D4435D085C2B}"/>
    <cellStyle name="Normal 9 2 3 3 3 4" xfId="9935" xr:uid="{F89FA749-C609-49B9-B555-D2F1542561A2}"/>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16711" xr:uid="{EEEBED74-41D0-40C7-9C00-E27DFD4C24A0}"/>
    <cellStyle name="Normal 9 2 3 3 4 2 3" xfId="12493" xr:uid="{79D1267E-3861-4722-9B10-898B61F4FA18}"/>
    <cellStyle name="Normal 9 2 3 3 4 3" xfId="6127" xr:uid="{00000000-0005-0000-0000-0000411F0000}"/>
    <cellStyle name="Normal 9 2 3 3 4 3 2" xfId="14566" xr:uid="{81164282-819E-42B9-A256-9BB6F638C5D0}"/>
    <cellStyle name="Normal 9 2 3 3 4 4" xfId="10348" xr:uid="{21526F05-B148-4F10-A8CF-701BA7F4FA6E}"/>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17124" xr:uid="{14B09E3D-00EB-4B99-B83D-BAF67D36FB3B}"/>
    <cellStyle name="Normal 9 2 3 3 5 2 3" xfId="12906" xr:uid="{76CB5472-32C5-48CF-8B91-6087F1ED69A3}"/>
    <cellStyle name="Normal 9 2 3 3 5 3" xfId="6540" xr:uid="{00000000-0005-0000-0000-0000451F0000}"/>
    <cellStyle name="Normal 9 2 3 3 5 3 2" xfId="14979" xr:uid="{71DFB39D-6551-407F-B542-71692B10109B}"/>
    <cellStyle name="Normal 9 2 3 3 5 4" xfId="10761" xr:uid="{23A418E5-8090-4FCA-B4FE-89D354999B86}"/>
    <cellStyle name="Normal 9 2 3 3 6" xfId="2669" xr:uid="{00000000-0005-0000-0000-0000461F0000}"/>
    <cellStyle name="Normal 9 2 3 3 6 2" xfId="6953" xr:uid="{00000000-0005-0000-0000-0000471F0000}"/>
    <cellStyle name="Normal 9 2 3 3 6 2 2" xfId="15392" xr:uid="{976C3855-DDC7-4DB7-A01F-3D6721BE948E}"/>
    <cellStyle name="Normal 9 2 3 3 6 3" xfId="11174" xr:uid="{32EBC1B7-3BB1-4F7C-B7F4-EA30405706A0}"/>
    <cellStyle name="Normal 9 2 3 3 7" xfId="4888" xr:uid="{00000000-0005-0000-0000-0000481F0000}"/>
    <cellStyle name="Normal 9 2 3 3 7 2" xfId="13327" xr:uid="{3DDF4645-B725-4152-9389-36BB79B88C4D}"/>
    <cellStyle name="Normal 9 2 3 3 8" xfId="9109" xr:uid="{DFF9B84C-99F7-4B7B-9FB1-3AB75C6FF3EB}"/>
    <cellStyle name="Normal 9 2 3 4" xfId="987" xr:uid="{00000000-0005-0000-0000-0000491F0000}"/>
    <cellStyle name="Normal 9 2 3 4 2" xfId="3220" xr:uid="{00000000-0005-0000-0000-00004A1F0000}"/>
    <cellStyle name="Normal 9 2 3 4 2 2" xfId="7443" xr:uid="{00000000-0005-0000-0000-00004B1F0000}"/>
    <cellStyle name="Normal 9 2 3 4 2 2 2" xfId="15882" xr:uid="{573F8945-F844-4DFF-BDE7-4A01FC6BD9F8}"/>
    <cellStyle name="Normal 9 2 3 4 2 3" xfId="11664" xr:uid="{E9297F04-088F-45D3-B1F4-CA47DE8EA2F1}"/>
    <cellStyle name="Normal 9 2 3 4 3" xfId="5298" xr:uid="{00000000-0005-0000-0000-00004C1F0000}"/>
    <cellStyle name="Normal 9 2 3 4 3 2" xfId="13737" xr:uid="{B73C7A5B-A68C-4106-AFBC-A566A9179C78}"/>
    <cellStyle name="Normal 9 2 3 4 4" xfId="9519" xr:uid="{1B32B856-61C2-4CB1-8630-F10530670D8F}"/>
    <cellStyle name="Normal 9 2 3 5" xfId="1403" xr:uid="{00000000-0005-0000-0000-00004D1F0000}"/>
    <cellStyle name="Normal 9 2 3 5 2" xfId="3633" xr:uid="{00000000-0005-0000-0000-00004E1F0000}"/>
    <cellStyle name="Normal 9 2 3 5 2 2" xfId="7856" xr:uid="{00000000-0005-0000-0000-00004F1F0000}"/>
    <cellStyle name="Normal 9 2 3 5 2 2 2" xfId="16295" xr:uid="{D44B54D0-9925-467D-9BC5-48F107941194}"/>
    <cellStyle name="Normal 9 2 3 5 2 3" xfId="12077" xr:uid="{5B9DA485-CA8E-4CBF-9A97-E75428C6B207}"/>
    <cellStyle name="Normal 9 2 3 5 3" xfId="5711" xr:uid="{00000000-0005-0000-0000-0000501F0000}"/>
    <cellStyle name="Normal 9 2 3 5 3 2" xfId="14150" xr:uid="{A6D2BAC0-2A30-4A67-AAA7-386842506CAB}"/>
    <cellStyle name="Normal 9 2 3 5 4" xfId="9932" xr:uid="{AE57F754-1965-4A59-B45B-DABCE68B0C32}"/>
    <cellStyle name="Normal 9 2 3 6" xfId="1816" xr:uid="{00000000-0005-0000-0000-0000511F0000}"/>
    <cellStyle name="Normal 9 2 3 6 2" xfId="4046" xr:uid="{00000000-0005-0000-0000-0000521F0000}"/>
    <cellStyle name="Normal 9 2 3 6 2 2" xfId="8269" xr:uid="{00000000-0005-0000-0000-0000531F0000}"/>
    <cellStyle name="Normal 9 2 3 6 2 2 2" xfId="16708" xr:uid="{CEE800CD-D940-40D1-BD32-6C295C49C0A0}"/>
    <cellStyle name="Normal 9 2 3 6 2 3" xfId="12490" xr:uid="{C7FF33A8-798B-4373-8F0A-3224494BC8CC}"/>
    <cellStyle name="Normal 9 2 3 6 3" xfId="6124" xr:uid="{00000000-0005-0000-0000-0000541F0000}"/>
    <cellStyle name="Normal 9 2 3 6 3 2" xfId="14563" xr:uid="{360A2828-7411-452D-BCD7-1CE3471069A2}"/>
    <cellStyle name="Normal 9 2 3 6 4" xfId="10345" xr:uid="{A9AA5B9C-9EBF-4616-81D0-B458703B15B7}"/>
    <cellStyle name="Normal 9 2 3 7" xfId="2230" xr:uid="{00000000-0005-0000-0000-0000551F0000}"/>
    <cellStyle name="Normal 9 2 3 7 2" xfId="4459" xr:uid="{00000000-0005-0000-0000-0000561F0000}"/>
    <cellStyle name="Normal 9 2 3 7 2 2" xfId="8682" xr:uid="{00000000-0005-0000-0000-0000571F0000}"/>
    <cellStyle name="Normal 9 2 3 7 2 2 2" xfId="17121" xr:uid="{D8757D42-7D80-4EB1-99BF-C318DE4BD1C5}"/>
    <cellStyle name="Normal 9 2 3 7 2 3" xfId="12903" xr:uid="{A66297A4-AEF9-41E5-8CD7-474232A6D57E}"/>
    <cellStyle name="Normal 9 2 3 7 3" xfId="6537" xr:uid="{00000000-0005-0000-0000-0000581F0000}"/>
    <cellStyle name="Normal 9 2 3 7 3 2" xfId="14976" xr:uid="{BDB4E209-3E78-41BA-8AEF-8CA30D42ACC6}"/>
    <cellStyle name="Normal 9 2 3 7 4" xfId="10758" xr:uid="{8CE81EB4-D615-4BFD-9321-2A9C8A144D04}"/>
    <cellStyle name="Normal 9 2 3 8" xfId="2666" xr:uid="{00000000-0005-0000-0000-0000591F0000}"/>
    <cellStyle name="Normal 9 2 3 8 2" xfId="6950" xr:uid="{00000000-0005-0000-0000-00005A1F0000}"/>
    <cellStyle name="Normal 9 2 3 8 2 2" xfId="15389" xr:uid="{D6E9C7A3-70DC-439B-93B2-67E7F06C9B7B}"/>
    <cellStyle name="Normal 9 2 3 8 3" xfId="11171" xr:uid="{EA1F1366-1BF0-42B1-ABAE-006604E47B67}"/>
    <cellStyle name="Normal 9 2 3 9" xfId="4885" xr:uid="{00000000-0005-0000-0000-00005B1F0000}"/>
    <cellStyle name="Normal 9 2 3 9 2" xfId="13324" xr:uid="{CC45F18C-D7E4-4DF1-88BD-DD421ADCB23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5887" xr:uid="{55F3C0E3-D635-43D3-B272-136F019A2576}"/>
    <cellStyle name="Normal 9 2 4 2 2 2 3" xfId="11669" xr:uid="{4508D6F2-B8B2-478D-8B18-77ED60D3DF1C}"/>
    <cellStyle name="Normal 9 2 4 2 2 3" xfId="5303" xr:uid="{00000000-0005-0000-0000-0000611F0000}"/>
    <cellStyle name="Normal 9 2 4 2 2 3 2" xfId="13742" xr:uid="{8DE42B0F-CC01-4655-9203-A5BC0523857C}"/>
    <cellStyle name="Normal 9 2 4 2 2 4" xfId="9524" xr:uid="{6E642BD2-CAA7-4224-B919-4AE68DAC3DB0}"/>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16300" xr:uid="{7F260467-4202-4781-9E9A-2F09DE482938}"/>
    <cellStyle name="Normal 9 2 4 2 3 2 3" xfId="12082" xr:uid="{86578FE3-21D1-45BE-86C1-A98CDD12EDD1}"/>
    <cellStyle name="Normal 9 2 4 2 3 3" xfId="5716" xr:uid="{00000000-0005-0000-0000-0000651F0000}"/>
    <cellStyle name="Normal 9 2 4 2 3 3 2" xfId="14155" xr:uid="{9E964BD9-C824-453F-B984-189A40353A83}"/>
    <cellStyle name="Normal 9 2 4 2 3 4" xfId="9937" xr:uid="{729E9243-F977-4C70-A20B-A4B0857DA2EF}"/>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16713" xr:uid="{5ACDCFF8-CD9F-4949-B229-4DB8B35B5121}"/>
    <cellStyle name="Normal 9 2 4 2 4 2 3" xfId="12495" xr:uid="{65640475-76F2-44BB-A225-677F9D10AD55}"/>
    <cellStyle name="Normal 9 2 4 2 4 3" xfId="6129" xr:uid="{00000000-0005-0000-0000-0000691F0000}"/>
    <cellStyle name="Normal 9 2 4 2 4 3 2" xfId="14568" xr:uid="{0B657136-D78F-4A44-9D98-6E43F552C409}"/>
    <cellStyle name="Normal 9 2 4 2 4 4" xfId="10350" xr:uid="{CB6EA39F-19E0-4D07-B4CB-CA24896119D6}"/>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17126" xr:uid="{6D68889B-D4D3-43C8-98D8-946403F4146D}"/>
    <cellStyle name="Normal 9 2 4 2 5 2 3" xfId="12908" xr:uid="{36AA90EA-E1E2-4AEF-86F9-33C0645DD4D8}"/>
    <cellStyle name="Normal 9 2 4 2 5 3" xfId="6542" xr:uid="{00000000-0005-0000-0000-00006D1F0000}"/>
    <cellStyle name="Normal 9 2 4 2 5 3 2" xfId="14981" xr:uid="{F4D9DAA4-9AFB-4C04-8913-492866233B7B}"/>
    <cellStyle name="Normal 9 2 4 2 5 4" xfId="10763" xr:uid="{6F07B096-BC71-443D-826D-C7579BD4450E}"/>
    <cellStyle name="Normal 9 2 4 2 6" xfId="2671" xr:uid="{00000000-0005-0000-0000-00006E1F0000}"/>
    <cellStyle name="Normal 9 2 4 2 6 2" xfId="6955" xr:uid="{00000000-0005-0000-0000-00006F1F0000}"/>
    <cellStyle name="Normal 9 2 4 2 6 2 2" xfId="15394" xr:uid="{197BADDD-78D8-4C2F-8C9F-85EDCF982ACC}"/>
    <cellStyle name="Normal 9 2 4 2 6 3" xfId="11176" xr:uid="{77AEEB29-B967-402A-B0D0-793F2304ACB1}"/>
    <cellStyle name="Normal 9 2 4 2 7" xfId="4890" xr:uid="{00000000-0005-0000-0000-0000701F0000}"/>
    <cellStyle name="Normal 9 2 4 2 7 2" xfId="13329" xr:uid="{5C05DBEB-7970-4AEB-A78B-BE7FAD3A980A}"/>
    <cellStyle name="Normal 9 2 4 2 8" xfId="9111" xr:uid="{75905A1C-0897-4160-BE05-F49EF1FA4BB2}"/>
    <cellStyle name="Normal 9 2 4 3" xfId="991" xr:uid="{00000000-0005-0000-0000-0000711F0000}"/>
    <cellStyle name="Normal 9 2 4 3 2" xfId="3224" xr:uid="{00000000-0005-0000-0000-0000721F0000}"/>
    <cellStyle name="Normal 9 2 4 3 2 2" xfId="7447" xr:uid="{00000000-0005-0000-0000-0000731F0000}"/>
    <cellStyle name="Normal 9 2 4 3 2 2 2" xfId="15886" xr:uid="{6136A9BF-9975-415F-AE8A-C0FC504820D1}"/>
    <cellStyle name="Normal 9 2 4 3 2 3" xfId="11668" xr:uid="{884A4BEC-0E67-4657-B549-8A230459CCAC}"/>
    <cellStyle name="Normal 9 2 4 3 3" xfId="5302" xr:uid="{00000000-0005-0000-0000-0000741F0000}"/>
    <cellStyle name="Normal 9 2 4 3 3 2" xfId="13741" xr:uid="{F00555DA-5FC8-46BA-8FD1-A3CEF0B86B7C}"/>
    <cellStyle name="Normal 9 2 4 3 4" xfId="9523" xr:uid="{79088E42-F788-421D-8C67-8C13FF9D02B2}"/>
    <cellStyle name="Normal 9 2 4 4" xfId="1407" xr:uid="{00000000-0005-0000-0000-0000751F0000}"/>
    <cellStyle name="Normal 9 2 4 4 2" xfId="3637" xr:uid="{00000000-0005-0000-0000-0000761F0000}"/>
    <cellStyle name="Normal 9 2 4 4 2 2" xfId="7860" xr:uid="{00000000-0005-0000-0000-0000771F0000}"/>
    <cellStyle name="Normal 9 2 4 4 2 2 2" xfId="16299" xr:uid="{FBC03FF8-1CF3-4542-9F07-9FB9E0300BE8}"/>
    <cellStyle name="Normal 9 2 4 4 2 3" xfId="12081" xr:uid="{51C7BC85-8DDE-474D-BE54-969C1A9E4ED1}"/>
    <cellStyle name="Normal 9 2 4 4 3" xfId="5715" xr:uid="{00000000-0005-0000-0000-0000781F0000}"/>
    <cellStyle name="Normal 9 2 4 4 3 2" xfId="14154" xr:uid="{2CDB8398-952C-4590-92F0-492DFDA2A770}"/>
    <cellStyle name="Normal 9 2 4 4 4" xfId="9936" xr:uid="{F1B4D50E-A7D8-4F94-9A86-ADBA5A382BFF}"/>
    <cellStyle name="Normal 9 2 4 5" xfId="1820" xr:uid="{00000000-0005-0000-0000-0000791F0000}"/>
    <cellStyle name="Normal 9 2 4 5 2" xfId="4050" xr:uid="{00000000-0005-0000-0000-00007A1F0000}"/>
    <cellStyle name="Normal 9 2 4 5 2 2" xfId="8273" xr:uid="{00000000-0005-0000-0000-00007B1F0000}"/>
    <cellStyle name="Normal 9 2 4 5 2 2 2" xfId="16712" xr:uid="{12B623DB-F6D0-474C-9B12-06BC06B80337}"/>
    <cellStyle name="Normal 9 2 4 5 2 3" xfId="12494" xr:uid="{2911017C-6C72-45C3-BE25-71DED08526D5}"/>
    <cellStyle name="Normal 9 2 4 5 3" xfId="6128" xr:uid="{00000000-0005-0000-0000-00007C1F0000}"/>
    <cellStyle name="Normal 9 2 4 5 3 2" xfId="14567" xr:uid="{4B559F9C-B2AC-4CC3-8FC6-0DCE1FFFD150}"/>
    <cellStyle name="Normal 9 2 4 5 4" xfId="10349" xr:uid="{88046097-9277-4988-9DA5-5C674DD669E7}"/>
    <cellStyle name="Normal 9 2 4 6" xfId="2234" xr:uid="{00000000-0005-0000-0000-00007D1F0000}"/>
    <cellStyle name="Normal 9 2 4 6 2" xfId="4463" xr:uid="{00000000-0005-0000-0000-00007E1F0000}"/>
    <cellStyle name="Normal 9 2 4 6 2 2" xfId="8686" xr:uid="{00000000-0005-0000-0000-00007F1F0000}"/>
    <cellStyle name="Normal 9 2 4 6 2 2 2" xfId="17125" xr:uid="{5451D090-45CC-4D31-8F43-32FD8DAF4AB6}"/>
    <cellStyle name="Normal 9 2 4 6 2 3" xfId="12907" xr:uid="{46F87C64-6158-471E-A5D1-84B83A215011}"/>
    <cellStyle name="Normal 9 2 4 6 3" xfId="6541" xr:uid="{00000000-0005-0000-0000-0000801F0000}"/>
    <cellStyle name="Normal 9 2 4 6 3 2" xfId="14980" xr:uid="{AF442BC7-4527-4BFE-A0FC-D1EC898FF706}"/>
    <cellStyle name="Normal 9 2 4 6 4" xfId="10762" xr:uid="{96D28376-E97C-48EB-B5A5-298D4379B74D}"/>
    <cellStyle name="Normal 9 2 4 7" xfId="2670" xr:uid="{00000000-0005-0000-0000-0000811F0000}"/>
    <cellStyle name="Normal 9 2 4 7 2" xfId="6954" xr:uid="{00000000-0005-0000-0000-0000821F0000}"/>
    <cellStyle name="Normal 9 2 4 7 2 2" xfId="15393" xr:uid="{ABBA87BE-AC78-4009-8B2F-3645434C53E7}"/>
    <cellStyle name="Normal 9 2 4 7 3" xfId="11175" xr:uid="{BE20E552-17F8-4C1D-94EB-4421710C32F2}"/>
    <cellStyle name="Normal 9 2 4 8" xfId="4889" xr:uid="{00000000-0005-0000-0000-0000831F0000}"/>
    <cellStyle name="Normal 9 2 4 8 2" xfId="13328" xr:uid="{E696FE11-5B65-4104-9990-92FD3EA38ACC}"/>
    <cellStyle name="Normal 9 2 4 9" xfId="9110" xr:uid="{BBF7DABF-7189-434C-A193-B3876AD82F62}"/>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15888" xr:uid="{52B31E83-80ED-4A2B-A4DA-F1F474F70C39}"/>
    <cellStyle name="Normal 9 2 5 2 2 3" xfId="11670" xr:uid="{A6313FC8-0F0D-4A9A-8282-CC86038B9CF9}"/>
    <cellStyle name="Normal 9 2 5 2 3" xfId="5304" xr:uid="{00000000-0005-0000-0000-0000881F0000}"/>
    <cellStyle name="Normal 9 2 5 2 3 2" xfId="13743" xr:uid="{0E21D343-458D-450C-A387-A11B39F329B3}"/>
    <cellStyle name="Normal 9 2 5 2 4" xfId="9525" xr:uid="{FA46D002-F4A6-4A65-AEDF-4EA1323868B1}"/>
    <cellStyle name="Normal 9 2 5 3" xfId="1409" xr:uid="{00000000-0005-0000-0000-0000891F0000}"/>
    <cellStyle name="Normal 9 2 5 3 2" xfId="3639" xr:uid="{00000000-0005-0000-0000-00008A1F0000}"/>
    <cellStyle name="Normal 9 2 5 3 2 2" xfId="7862" xr:uid="{00000000-0005-0000-0000-00008B1F0000}"/>
    <cellStyle name="Normal 9 2 5 3 2 2 2" xfId="16301" xr:uid="{E7792541-DB2E-4C8E-B5DC-432C665829CE}"/>
    <cellStyle name="Normal 9 2 5 3 2 3" xfId="12083" xr:uid="{2CA8F74A-05C5-463F-9812-41E62B2F0581}"/>
    <cellStyle name="Normal 9 2 5 3 3" xfId="5717" xr:uid="{00000000-0005-0000-0000-00008C1F0000}"/>
    <cellStyle name="Normal 9 2 5 3 3 2" xfId="14156" xr:uid="{639B51ED-ABFE-490C-8B78-2AD622604F6B}"/>
    <cellStyle name="Normal 9 2 5 3 4" xfId="9938" xr:uid="{0A0F690F-A127-44D0-9638-89AD7B6C4B6C}"/>
    <cellStyle name="Normal 9 2 5 4" xfId="1822" xr:uid="{00000000-0005-0000-0000-00008D1F0000}"/>
    <cellStyle name="Normal 9 2 5 4 2" xfId="4052" xr:uid="{00000000-0005-0000-0000-00008E1F0000}"/>
    <cellStyle name="Normal 9 2 5 4 2 2" xfId="8275" xr:uid="{00000000-0005-0000-0000-00008F1F0000}"/>
    <cellStyle name="Normal 9 2 5 4 2 2 2" xfId="16714" xr:uid="{FFB0F43C-A45D-44CA-8469-7774B5797011}"/>
    <cellStyle name="Normal 9 2 5 4 2 3" xfId="12496" xr:uid="{22F28B74-839B-40A4-AD42-02C9DB3E8775}"/>
    <cellStyle name="Normal 9 2 5 4 3" xfId="6130" xr:uid="{00000000-0005-0000-0000-0000901F0000}"/>
    <cellStyle name="Normal 9 2 5 4 3 2" xfId="14569" xr:uid="{3CC7C4CA-173A-4BED-9D15-C5A5FEAD020F}"/>
    <cellStyle name="Normal 9 2 5 4 4" xfId="10351" xr:uid="{821944AE-8F2E-44F8-883C-793AA878BAF1}"/>
    <cellStyle name="Normal 9 2 5 5" xfId="2236" xr:uid="{00000000-0005-0000-0000-0000911F0000}"/>
    <cellStyle name="Normal 9 2 5 5 2" xfId="4465" xr:uid="{00000000-0005-0000-0000-0000921F0000}"/>
    <cellStyle name="Normal 9 2 5 5 2 2" xfId="8688" xr:uid="{00000000-0005-0000-0000-0000931F0000}"/>
    <cellStyle name="Normal 9 2 5 5 2 2 2" xfId="17127" xr:uid="{D0475269-063A-4C6B-9CE9-2957645E6BD8}"/>
    <cellStyle name="Normal 9 2 5 5 2 3" xfId="12909" xr:uid="{4DBF7D4A-9348-4BC8-AA40-F222024D6368}"/>
    <cellStyle name="Normal 9 2 5 5 3" xfId="6543" xr:uid="{00000000-0005-0000-0000-0000941F0000}"/>
    <cellStyle name="Normal 9 2 5 5 3 2" xfId="14982" xr:uid="{D9147FD7-1728-425F-BDC9-2F933E65F197}"/>
    <cellStyle name="Normal 9 2 5 5 4" xfId="10764" xr:uid="{EAC48137-3A38-4649-9E34-ED9481992ECD}"/>
    <cellStyle name="Normal 9 2 5 6" xfId="2672" xr:uid="{00000000-0005-0000-0000-0000951F0000}"/>
    <cellStyle name="Normal 9 2 5 6 2" xfId="6956" xr:uid="{00000000-0005-0000-0000-0000961F0000}"/>
    <cellStyle name="Normal 9 2 5 6 2 2" xfId="15395" xr:uid="{72AA3866-4908-4F7D-B8E6-BB5EE2163E3F}"/>
    <cellStyle name="Normal 9 2 5 6 3" xfId="11177" xr:uid="{0DDB48FC-7018-4E51-8582-91A6963CE6F7}"/>
    <cellStyle name="Normal 9 2 5 7" xfId="4891" xr:uid="{00000000-0005-0000-0000-0000971F0000}"/>
    <cellStyle name="Normal 9 2 5 7 2" xfId="13330" xr:uid="{516D1900-96A8-40F3-BE5D-074797866B9F}"/>
    <cellStyle name="Normal 9 2 5 8" xfId="9112" xr:uid="{9251895D-495C-4613-B412-ACBD69FFA2BF}"/>
    <cellStyle name="Normal 9 2 6" xfId="978" xr:uid="{00000000-0005-0000-0000-0000981F0000}"/>
    <cellStyle name="Normal 9 2 6 2" xfId="3211" xr:uid="{00000000-0005-0000-0000-0000991F0000}"/>
    <cellStyle name="Normal 9 2 6 2 2" xfId="7434" xr:uid="{00000000-0005-0000-0000-00009A1F0000}"/>
    <cellStyle name="Normal 9 2 6 2 2 2" xfId="15873" xr:uid="{7657BE45-9B62-4C28-A8A9-3911C694A446}"/>
    <cellStyle name="Normal 9 2 6 2 3" xfId="11655" xr:uid="{AEF254B0-894A-497C-AB7D-5D9AB8747645}"/>
    <cellStyle name="Normal 9 2 6 3" xfId="5289" xr:uid="{00000000-0005-0000-0000-00009B1F0000}"/>
    <cellStyle name="Normal 9 2 6 3 2" xfId="13728" xr:uid="{F0B95E4B-E3FB-416B-B43C-D50AFC9AA713}"/>
    <cellStyle name="Normal 9 2 6 4" xfId="9510" xr:uid="{9E50A159-5876-4791-9529-420E6CD8C8F0}"/>
    <cellStyle name="Normal 9 2 7" xfId="1394" xr:uid="{00000000-0005-0000-0000-00009C1F0000}"/>
    <cellStyle name="Normal 9 2 7 2" xfId="3624" xr:uid="{00000000-0005-0000-0000-00009D1F0000}"/>
    <cellStyle name="Normal 9 2 7 2 2" xfId="7847" xr:uid="{00000000-0005-0000-0000-00009E1F0000}"/>
    <cellStyle name="Normal 9 2 7 2 2 2" xfId="16286" xr:uid="{6F27BB93-8D76-4FA7-A0EA-93AA3C21345E}"/>
    <cellStyle name="Normal 9 2 7 2 3" xfId="12068" xr:uid="{BFEDCD34-712D-4CCC-9AFF-62688E35D7C7}"/>
    <cellStyle name="Normal 9 2 7 3" xfId="5702" xr:uid="{00000000-0005-0000-0000-00009F1F0000}"/>
    <cellStyle name="Normal 9 2 7 3 2" xfId="14141" xr:uid="{67FDF2C1-3F80-49CB-B64C-56606FEA14E6}"/>
    <cellStyle name="Normal 9 2 7 4" xfId="9923" xr:uid="{C79CCE32-9199-4BBB-945D-73F4FA8C6158}"/>
    <cellStyle name="Normal 9 2 8" xfId="1807" xr:uid="{00000000-0005-0000-0000-0000A01F0000}"/>
    <cellStyle name="Normal 9 2 8 2" xfId="4037" xr:uid="{00000000-0005-0000-0000-0000A11F0000}"/>
    <cellStyle name="Normal 9 2 8 2 2" xfId="8260" xr:uid="{00000000-0005-0000-0000-0000A21F0000}"/>
    <cellStyle name="Normal 9 2 8 2 2 2" xfId="16699" xr:uid="{A7E0950C-4D20-4138-B1DD-7C1D2B477999}"/>
    <cellStyle name="Normal 9 2 8 2 3" xfId="12481" xr:uid="{51A91963-BF61-4C7E-89A0-84BDCEA5BD6E}"/>
    <cellStyle name="Normal 9 2 8 3" xfId="6115" xr:uid="{00000000-0005-0000-0000-0000A31F0000}"/>
    <cellStyle name="Normal 9 2 8 3 2" xfId="14554" xr:uid="{F16F4DD6-41C4-429D-B011-99FE393CA74D}"/>
    <cellStyle name="Normal 9 2 8 4" xfId="10336" xr:uid="{3C6D066E-FF18-4C28-8E68-23E9250BA4BB}"/>
    <cellStyle name="Normal 9 2 9" xfId="2221" xr:uid="{00000000-0005-0000-0000-0000A41F0000}"/>
    <cellStyle name="Normal 9 2 9 2" xfId="4450" xr:uid="{00000000-0005-0000-0000-0000A51F0000}"/>
    <cellStyle name="Normal 9 2 9 2 2" xfId="8673" xr:uid="{00000000-0005-0000-0000-0000A61F0000}"/>
    <cellStyle name="Normal 9 2 9 2 2 2" xfId="17112" xr:uid="{3E66C99E-32C4-435C-92CE-D1F9E9549A23}"/>
    <cellStyle name="Normal 9 2 9 2 3" xfId="12894" xr:uid="{A775AF1C-4C56-4C0E-B6D4-BB6FAF9F75E0}"/>
    <cellStyle name="Normal 9 2 9 3" xfId="6528" xr:uid="{00000000-0005-0000-0000-0000A71F0000}"/>
    <cellStyle name="Normal 9 2 9 3 2" xfId="14967" xr:uid="{5682F1C8-FF8A-4C08-B141-0103291E92F7}"/>
    <cellStyle name="Normal 9 2 9 4" xfId="10749" xr:uid="{E6A4795F-5331-45F0-A455-9BAE5F5E1435}"/>
    <cellStyle name="Normal 9 3" xfId="527" xr:uid="{00000000-0005-0000-0000-0000A81F0000}"/>
    <cellStyle name="Normal 9 3 10" xfId="4892" xr:uid="{00000000-0005-0000-0000-0000A91F0000}"/>
    <cellStyle name="Normal 9 3 10 2" xfId="13331" xr:uid="{FA759F29-306A-4D94-8CF4-1C5B8E4B5E59}"/>
    <cellStyle name="Normal 9 3 11" xfId="9113" xr:uid="{367AF199-CDD0-4A02-BE5D-5FF74EC001DE}"/>
    <cellStyle name="Normal 9 3 2" xfId="528" xr:uid="{00000000-0005-0000-0000-0000AA1F0000}"/>
    <cellStyle name="Normal 9 3 2 10" xfId="9114" xr:uid="{F7F7570E-FFB3-4B22-A23B-CD128D0208D2}"/>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5892" xr:uid="{9D3E5786-339D-41F2-9C33-78FF2EAB4606}"/>
    <cellStyle name="Normal 9 3 2 2 2 2 2 3" xfId="11674" xr:uid="{F4C4D506-0D16-4ADF-A2E3-23F7A1E7781C}"/>
    <cellStyle name="Normal 9 3 2 2 2 2 3" xfId="5308" xr:uid="{00000000-0005-0000-0000-0000B01F0000}"/>
    <cellStyle name="Normal 9 3 2 2 2 2 3 2" xfId="13747" xr:uid="{C592C10B-65D7-433B-9DD0-1F2FED7E4EB3}"/>
    <cellStyle name="Normal 9 3 2 2 2 2 4" xfId="9529" xr:uid="{A7C755C9-1367-4777-A9F5-6B5334500BB3}"/>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16305" xr:uid="{4F7BF3D2-C084-47D9-A09B-60B504A78CBA}"/>
    <cellStyle name="Normal 9 3 2 2 2 3 2 3" xfId="12087" xr:uid="{B29CDAC5-48B0-45C9-B89B-C109A0D298A8}"/>
    <cellStyle name="Normal 9 3 2 2 2 3 3" xfId="5721" xr:uid="{00000000-0005-0000-0000-0000B41F0000}"/>
    <cellStyle name="Normal 9 3 2 2 2 3 3 2" xfId="14160" xr:uid="{56404067-D828-4E75-B5EF-1C6E0B7BDE6C}"/>
    <cellStyle name="Normal 9 3 2 2 2 3 4" xfId="9942" xr:uid="{8955B8F8-8905-41E4-927A-0FA22181228A}"/>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16718" xr:uid="{72CF77E6-0D01-41F0-BA65-B9FDFC18F01C}"/>
    <cellStyle name="Normal 9 3 2 2 2 4 2 3" xfId="12500" xr:uid="{01DFD796-D431-4DA3-ABE8-6DF96BD96BA2}"/>
    <cellStyle name="Normal 9 3 2 2 2 4 3" xfId="6134" xr:uid="{00000000-0005-0000-0000-0000B81F0000}"/>
    <cellStyle name="Normal 9 3 2 2 2 4 3 2" xfId="14573" xr:uid="{10FBB8CD-1BB9-43B9-BE02-92C25F1A3B9F}"/>
    <cellStyle name="Normal 9 3 2 2 2 4 4" xfId="10355" xr:uid="{6E5CC257-86CF-4D35-836B-AA1B29B30E8C}"/>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17131" xr:uid="{88AA59E4-A1BB-4E48-BE8A-4A69F4CF06A8}"/>
    <cellStyle name="Normal 9 3 2 2 2 5 2 3" xfId="12913" xr:uid="{6D13ADBE-D79D-4E4E-9DAD-744BAB562CC1}"/>
    <cellStyle name="Normal 9 3 2 2 2 5 3" xfId="6547" xr:uid="{00000000-0005-0000-0000-0000BC1F0000}"/>
    <cellStyle name="Normal 9 3 2 2 2 5 3 2" xfId="14986" xr:uid="{4F5EC9FE-0CE1-4C57-AEF2-ED07BA7B75E5}"/>
    <cellStyle name="Normal 9 3 2 2 2 5 4" xfId="10768" xr:uid="{28402207-0850-4FBA-89B9-C5DBA713CD81}"/>
    <cellStyle name="Normal 9 3 2 2 2 6" xfId="2676" xr:uid="{00000000-0005-0000-0000-0000BD1F0000}"/>
    <cellStyle name="Normal 9 3 2 2 2 6 2" xfId="6960" xr:uid="{00000000-0005-0000-0000-0000BE1F0000}"/>
    <cellStyle name="Normal 9 3 2 2 2 6 2 2" xfId="15399" xr:uid="{2F9F3638-1374-4AA0-8A0C-1F58478E6C1C}"/>
    <cellStyle name="Normal 9 3 2 2 2 6 3" xfId="11181" xr:uid="{7959943F-A88E-4440-B25F-E086B4C4051C}"/>
    <cellStyle name="Normal 9 3 2 2 2 7" xfId="4895" xr:uid="{00000000-0005-0000-0000-0000BF1F0000}"/>
    <cellStyle name="Normal 9 3 2 2 2 7 2" xfId="13334" xr:uid="{1A71D5A2-940F-4B86-804A-284C78B80784}"/>
    <cellStyle name="Normal 9 3 2 2 2 8" xfId="9116" xr:uid="{52A63F55-DC20-44CF-B2EE-0A67B4CF9F77}"/>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5891" xr:uid="{D98B4302-518E-4312-950B-3BF5739BABA8}"/>
    <cellStyle name="Normal 9 3 2 2 3 2 3" xfId="11673" xr:uid="{67D39DB0-CA16-4C23-83A1-C8CDC14546FB}"/>
    <cellStyle name="Normal 9 3 2 2 3 3" xfId="5307" xr:uid="{00000000-0005-0000-0000-0000C31F0000}"/>
    <cellStyle name="Normal 9 3 2 2 3 3 2" xfId="13746" xr:uid="{119C857D-61F2-4ED8-8CEA-F2BEB3465A80}"/>
    <cellStyle name="Normal 9 3 2 2 3 4" xfId="9528" xr:uid="{DD9ADD64-26F5-4BCD-B241-B023CD2E4C04}"/>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16304" xr:uid="{C030939E-2250-4E2A-AA11-AF33394DAB83}"/>
    <cellStyle name="Normal 9 3 2 2 4 2 3" xfId="12086" xr:uid="{C096EE0B-358C-4AD6-A59B-8AB364030516}"/>
    <cellStyle name="Normal 9 3 2 2 4 3" xfId="5720" xr:uid="{00000000-0005-0000-0000-0000C71F0000}"/>
    <cellStyle name="Normal 9 3 2 2 4 3 2" xfId="14159" xr:uid="{2869208B-C7E1-48EA-9840-0CF6E13BDE4A}"/>
    <cellStyle name="Normal 9 3 2 2 4 4" xfId="9941" xr:uid="{2344CB36-661F-48FD-BA22-C94A627B7903}"/>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16717" xr:uid="{11659DEC-8EA9-4F96-A2C9-A97A11D2735B}"/>
    <cellStyle name="Normal 9 3 2 2 5 2 3" xfId="12499" xr:uid="{9A0AD54F-E97B-4755-BD4F-5ADF7509DA24}"/>
    <cellStyle name="Normal 9 3 2 2 5 3" xfId="6133" xr:uid="{00000000-0005-0000-0000-0000CB1F0000}"/>
    <cellStyle name="Normal 9 3 2 2 5 3 2" xfId="14572" xr:uid="{319C4E47-FF46-4B01-A43F-D3A57101051A}"/>
    <cellStyle name="Normal 9 3 2 2 5 4" xfId="10354" xr:uid="{A626402E-A134-47FB-8FB8-59D971CF14C8}"/>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17130" xr:uid="{32B53BAB-37AA-4E40-8684-5F205CF30054}"/>
    <cellStyle name="Normal 9 3 2 2 6 2 3" xfId="12912" xr:uid="{5DFB94BB-9428-414C-AFDF-099D17B88792}"/>
    <cellStyle name="Normal 9 3 2 2 6 3" xfId="6546" xr:uid="{00000000-0005-0000-0000-0000CF1F0000}"/>
    <cellStyle name="Normal 9 3 2 2 6 3 2" xfId="14985" xr:uid="{2E165787-4463-4C7C-90D5-F0F469D2AFE1}"/>
    <cellStyle name="Normal 9 3 2 2 6 4" xfId="10767" xr:uid="{A256EEA0-6259-458F-AB23-FEEE43087CAE}"/>
    <cellStyle name="Normal 9 3 2 2 7" xfId="2675" xr:uid="{00000000-0005-0000-0000-0000D01F0000}"/>
    <cellStyle name="Normal 9 3 2 2 7 2" xfId="6959" xr:uid="{00000000-0005-0000-0000-0000D11F0000}"/>
    <cellStyle name="Normal 9 3 2 2 7 2 2" xfId="15398" xr:uid="{86B7B44B-2E43-423C-8770-0ADE76757666}"/>
    <cellStyle name="Normal 9 3 2 2 7 3" xfId="11180" xr:uid="{E657EC5F-A955-40D5-ABB2-34F936B423AB}"/>
    <cellStyle name="Normal 9 3 2 2 8" xfId="4894" xr:uid="{00000000-0005-0000-0000-0000D21F0000}"/>
    <cellStyle name="Normal 9 3 2 2 8 2" xfId="13333" xr:uid="{6C918A61-79D4-4A0B-9ADF-6DA3C83925C2}"/>
    <cellStyle name="Normal 9 3 2 2 9" xfId="9115" xr:uid="{680B129C-D588-4678-BCA3-F3C4E75AB9D8}"/>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5893" xr:uid="{13FAD325-3617-4F38-869E-B2F095704CE0}"/>
    <cellStyle name="Normal 9 3 2 3 2 2 3" xfId="11675" xr:uid="{9E1750D8-DAED-46BB-93B4-B44F8D54B8C4}"/>
    <cellStyle name="Normal 9 3 2 3 2 3" xfId="5309" xr:uid="{00000000-0005-0000-0000-0000D71F0000}"/>
    <cellStyle name="Normal 9 3 2 3 2 3 2" xfId="13748" xr:uid="{EA19C3E1-E474-46FD-9877-04289C28F7A9}"/>
    <cellStyle name="Normal 9 3 2 3 2 4" xfId="9530" xr:uid="{E836FFC0-C6F0-474C-A42E-32AA782532A3}"/>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16306" xr:uid="{3057980B-22D7-4BCE-8872-46BA7B46D823}"/>
    <cellStyle name="Normal 9 3 2 3 3 2 3" xfId="12088" xr:uid="{96D2B900-5D88-4B54-9090-915528DF1A9A}"/>
    <cellStyle name="Normal 9 3 2 3 3 3" xfId="5722" xr:uid="{00000000-0005-0000-0000-0000DB1F0000}"/>
    <cellStyle name="Normal 9 3 2 3 3 3 2" xfId="14161" xr:uid="{8F3A2779-EA3B-4DB3-AF8D-D44228107F0F}"/>
    <cellStyle name="Normal 9 3 2 3 3 4" xfId="9943" xr:uid="{BF422CDD-91ED-4F79-8D3F-92D10A6376A5}"/>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16719" xr:uid="{F2C19BC2-0C78-402B-87CF-1460991E08DA}"/>
    <cellStyle name="Normal 9 3 2 3 4 2 3" xfId="12501" xr:uid="{5B6AA44B-6933-4265-A0EE-4DA042C33816}"/>
    <cellStyle name="Normal 9 3 2 3 4 3" xfId="6135" xr:uid="{00000000-0005-0000-0000-0000DF1F0000}"/>
    <cellStyle name="Normal 9 3 2 3 4 3 2" xfId="14574" xr:uid="{7EE49AF2-E900-4DE7-82E8-32B4B70C52D9}"/>
    <cellStyle name="Normal 9 3 2 3 4 4" xfId="10356" xr:uid="{F47EF512-3350-4922-945E-03DE71350F40}"/>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17132" xr:uid="{93146228-4FC5-4CAC-A98D-4EB968F01239}"/>
    <cellStyle name="Normal 9 3 2 3 5 2 3" xfId="12914" xr:uid="{8597CDB1-03FE-4116-B1AB-C90438EC13C7}"/>
    <cellStyle name="Normal 9 3 2 3 5 3" xfId="6548" xr:uid="{00000000-0005-0000-0000-0000E31F0000}"/>
    <cellStyle name="Normal 9 3 2 3 5 3 2" xfId="14987" xr:uid="{955CFC70-1629-4A49-8A0B-E2476EAD34B9}"/>
    <cellStyle name="Normal 9 3 2 3 5 4" xfId="10769" xr:uid="{00AD122D-B813-43AD-8ECE-7F49122EE9FA}"/>
    <cellStyle name="Normal 9 3 2 3 6" xfId="2677" xr:uid="{00000000-0005-0000-0000-0000E41F0000}"/>
    <cellStyle name="Normal 9 3 2 3 6 2" xfId="6961" xr:uid="{00000000-0005-0000-0000-0000E51F0000}"/>
    <cellStyle name="Normal 9 3 2 3 6 2 2" xfId="15400" xr:uid="{F81FEF3E-A99D-40B5-8B88-3EA99AA7098C}"/>
    <cellStyle name="Normal 9 3 2 3 6 3" xfId="11182" xr:uid="{8D681701-19E5-4531-8604-CCC6CFE4C550}"/>
    <cellStyle name="Normal 9 3 2 3 7" xfId="4896" xr:uid="{00000000-0005-0000-0000-0000E61F0000}"/>
    <cellStyle name="Normal 9 3 2 3 7 2" xfId="13335" xr:uid="{829D8F6D-A9EB-468A-A77F-9176024D381E}"/>
    <cellStyle name="Normal 9 3 2 3 8" xfId="9117" xr:uid="{04CDEDF1-93ED-4346-85B4-5A3D276EDC46}"/>
    <cellStyle name="Normal 9 3 2 4" xfId="995" xr:uid="{00000000-0005-0000-0000-0000E71F0000}"/>
    <cellStyle name="Normal 9 3 2 4 2" xfId="3228" xr:uid="{00000000-0005-0000-0000-0000E81F0000}"/>
    <cellStyle name="Normal 9 3 2 4 2 2" xfId="7451" xr:uid="{00000000-0005-0000-0000-0000E91F0000}"/>
    <cellStyle name="Normal 9 3 2 4 2 2 2" xfId="15890" xr:uid="{B3CFF869-F78B-4EA4-9DB7-3C79B3D5B7B1}"/>
    <cellStyle name="Normal 9 3 2 4 2 3" xfId="11672" xr:uid="{E961CA3A-6F6F-46DC-ADD6-07D681F645ED}"/>
    <cellStyle name="Normal 9 3 2 4 3" xfId="5306" xr:uid="{00000000-0005-0000-0000-0000EA1F0000}"/>
    <cellStyle name="Normal 9 3 2 4 3 2" xfId="13745" xr:uid="{50623F00-FA70-4F23-91B0-4A5CA63ED82C}"/>
    <cellStyle name="Normal 9 3 2 4 4" xfId="9527" xr:uid="{5FC78CED-ECF7-4FE8-BBFF-A576E74D3B75}"/>
    <cellStyle name="Normal 9 3 2 5" xfId="1411" xr:uid="{00000000-0005-0000-0000-0000EB1F0000}"/>
    <cellStyle name="Normal 9 3 2 5 2" xfId="3641" xr:uid="{00000000-0005-0000-0000-0000EC1F0000}"/>
    <cellStyle name="Normal 9 3 2 5 2 2" xfId="7864" xr:uid="{00000000-0005-0000-0000-0000ED1F0000}"/>
    <cellStyle name="Normal 9 3 2 5 2 2 2" xfId="16303" xr:uid="{2F280A7C-BA97-45A5-A0DA-2763143531F1}"/>
    <cellStyle name="Normal 9 3 2 5 2 3" xfId="12085" xr:uid="{BF8D32B4-7C8D-444C-A28A-03765FB7336D}"/>
    <cellStyle name="Normal 9 3 2 5 3" xfId="5719" xr:uid="{00000000-0005-0000-0000-0000EE1F0000}"/>
    <cellStyle name="Normal 9 3 2 5 3 2" xfId="14158" xr:uid="{1D21616D-A73E-47ED-AA33-9B6FAF2C0AD7}"/>
    <cellStyle name="Normal 9 3 2 5 4" xfId="9940" xr:uid="{A427B6C1-0B07-432D-A59B-869E89F09C60}"/>
    <cellStyle name="Normal 9 3 2 6" xfId="1824" xr:uid="{00000000-0005-0000-0000-0000EF1F0000}"/>
    <cellStyle name="Normal 9 3 2 6 2" xfId="4054" xr:uid="{00000000-0005-0000-0000-0000F01F0000}"/>
    <cellStyle name="Normal 9 3 2 6 2 2" xfId="8277" xr:uid="{00000000-0005-0000-0000-0000F11F0000}"/>
    <cellStyle name="Normal 9 3 2 6 2 2 2" xfId="16716" xr:uid="{3E898363-22FA-4BFA-A93A-B68174F9C9AC}"/>
    <cellStyle name="Normal 9 3 2 6 2 3" xfId="12498" xr:uid="{212D9BB8-44E6-4028-9610-13A8F2A7099D}"/>
    <cellStyle name="Normal 9 3 2 6 3" xfId="6132" xr:uid="{00000000-0005-0000-0000-0000F21F0000}"/>
    <cellStyle name="Normal 9 3 2 6 3 2" xfId="14571" xr:uid="{6D913A80-1B7D-4B60-9037-3CA021D7521B}"/>
    <cellStyle name="Normal 9 3 2 6 4" xfId="10353" xr:uid="{61C23C67-5EAB-468E-9E02-E78345A06F6F}"/>
    <cellStyle name="Normal 9 3 2 7" xfId="2238" xr:uid="{00000000-0005-0000-0000-0000F31F0000}"/>
    <cellStyle name="Normal 9 3 2 7 2" xfId="4467" xr:uid="{00000000-0005-0000-0000-0000F41F0000}"/>
    <cellStyle name="Normal 9 3 2 7 2 2" xfId="8690" xr:uid="{00000000-0005-0000-0000-0000F51F0000}"/>
    <cellStyle name="Normal 9 3 2 7 2 2 2" xfId="17129" xr:uid="{DA406563-D965-496A-A215-A102BAFD046A}"/>
    <cellStyle name="Normal 9 3 2 7 2 3" xfId="12911" xr:uid="{A5122DFC-3767-491E-A88D-A25DAD7AAE1E}"/>
    <cellStyle name="Normal 9 3 2 7 3" xfId="6545" xr:uid="{00000000-0005-0000-0000-0000F61F0000}"/>
    <cellStyle name="Normal 9 3 2 7 3 2" xfId="14984" xr:uid="{1E2999D9-BBE4-4F92-A5FF-FEB68DB5B218}"/>
    <cellStyle name="Normal 9 3 2 7 4" xfId="10766" xr:uid="{67756279-C9A0-45BC-AD52-400E3E3BCE73}"/>
    <cellStyle name="Normal 9 3 2 8" xfId="2674" xr:uid="{00000000-0005-0000-0000-0000F71F0000}"/>
    <cellStyle name="Normal 9 3 2 8 2" xfId="6958" xr:uid="{00000000-0005-0000-0000-0000F81F0000}"/>
    <cellStyle name="Normal 9 3 2 8 2 2" xfId="15397" xr:uid="{56B04DC0-74B0-4336-8ED2-63E4A34C2C29}"/>
    <cellStyle name="Normal 9 3 2 8 3" xfId="11179" xr:uid="{00C5D1B7-331A-4BD3-AEFE-DDCFCCA0F5CE}"/>
    <cellStyle name="Normal 9 3 2 9" xfId="4893" xr:uid="{00000000-0005-0000-0000-0000F91F0000}"/>
    <cellStyle name="Normal 9 3 2 9 2" xfId="13332" xr:uid="{A5C35A60-CE77-4271-BB4D-99245DEAFC41}"/>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5895" xr:uid="{2C190F70-807E-4671-AC50-74C52D67451B}"/>
    <cellStyle name="Normal 9 3 3 2 2 2 3" xfId="11677" xr:uid="{D549F088-6870-4F10-94D3-2E2F90D68874}"/>
    <cellStyle name="Normal 9 3 3 2 2 3" xfId="5311" xr:uid="{00000000-0005-0000-0000-0000FF1F0000}"/>
    <cellStyle name="Normal 9 3 3 2 2 3 2" xfId="13750" xr:uid="{95F194DC-FCA7-403E-805B-73983955705F}"/>
    <cellStyle name="Normal 9 3 3 2 2 4" xfId="9532" xr:uid="{9F52BBD7-1DFD-4D97-A353-41C6B09DD8EC}"/>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16308" xr:uid="{E1131513-7396-4B58-BCEC-31D12F6BBE43}"/>
    <cellStyle name="Normal 9 3 3 2 3 2 3" xfId="12090" xr:uid="{FFFADBC8-7A9F-4A90-B3AE-5B2F09049210}"/>
    <cellStyle name="Normal 9 3 3 2 3 3" xfId="5724" xr:uid="{00000000-0005-0000-0000-000003200000}"/>
    <cellStyle name="Normal 9 3 3 2 3 3 2" xfId="14163" xr:uid="{4A6B1386-13B2-402F-884F-E7A2F7DC7474}"/>
    <cellStyle name="Normal 9 3 3 2 3 4" xfId="9945" xr:uid="{49B06C4B-22BE-4C6E-9837-3BAB57CFD611}"/>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16721" xr:uid="{26AFB311-657A-441A-80CD-FE177A4BEF95}"/>
    <cellStyle name="Normal 9 3 3 2 4 2 3" xfId="12503" xr:uid="{BEE1C1CB-406C-4021-951B-86A6F7F1CC35}"/>
    <cellStyle name="Normal 9 3 3 2 4 3" xfId="6137" xr:uid="{00000000-0005-0000-0000-000007200000}"/>
    <cellStyle name="Normal 9 3 3 2 4 3 2" xfId="14576" xr:uid="{2F915B53-B75C-4756-8FF3-69DC9E34ED8B}"/>
    <cellStyle name="Normal 9 3 3 2 4 4" xfId="10358" xr:uid="{2991CA45-C3B3-475D-9DBD-D9AC610449F0}"/>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17134" xr:uid="{A53BAB4E-75EB-4B39-9C23-9F5DD6426F67}"/>
    <cellStyle name="Normal 9 3 3 2 5 2 3" xfId="12916" xr:uid="{CEDDD5E9-2764-4C34-B3F4-A9DD73FE333A}"/>
    <cellStyle name="Normal 9 3 3 2 5 3" xfId="6550" xr:uid="{00000000-0005-0000-0000-00000B200000}"/>
    <cellStyle name="Normal 9 3 3 2 5 3 2" xfId="14989" xr:uid="{48869FA7-CDB0-4ADB-B12A-7AE5A07FF19C}"/>
    <cellStyle name="Normal 9 3 3 2 5 4" xfId="10771" xr:uid="{2C55B01C-7079-429B-B7EB-9C9F169C690B}"/>
    <cellStyle name="Normal 9 3 3 2 6" xfId="2679" xr:uid="{00000000-0005-0000-0000-00000C200000}"/>
    <cellStyle name="Normal 9 3 3 2 6 2" xfId="6963" xr:uid="{00000000-0005-0000-0000-00000D200000}"/>
    <cellStyle name="Normal 9 3 3 2 6 2 2" xfId="15402" xr:uid="{461D85C2-B630-4F95-83FC-BDE08B5F16B9}"/>
    <cellStyle name="Normal 9 3 3 2 6 3" xfId="11184" xr:uid="{F5AE53CC-4B5A-41CD-B9A3-9338A141C8BB}"/>
    <cellStyle name="Normal 9 3 3 2 7" xfId="4898" xr:uid="{00000000-0005-0000-0000-00000E200000}"/>
    <cellStyle name="Normal 9 3 3 2 7 2" xfId="13337" xr:uid="{F97C53C1-B2E6-453F-B129-1CFB2763D500}"/>
    <cellStyle name="Normal 9 3 3 2 8" xfId="9119" xr:uid="{DEA76117-91EE-4A37-B1A9-24219B493640}"/>
    <cellStyle name="Normal 9 3 3 3" xfId="999" xr:uid="{00000000-0005-0000-0000-00000F200000}"/>
    <cellStyle name="Normal 9 3 3 3 2" xfId="3232" xr:uid="{00000000-0005-0000-0000-000010200000}"/>
    <cellStyle name="Normal 9 3 3 3 2 2" xfId="7455" xr:uid="{00000000-0005-0000-0000-000011200000}"/>
    <cellStyle name="Normal 9 3 3 3 2 2 2" xfId="15894" xr:uid="{FEB8C2BF-BE11-495E-A7A6-FEEC658AC039}"/>
    <cellStyle name="Normal 9 3 3 3 2 3" xfId="11676" xr:uid="{A2BF9E9F-E4D6-4435-A6B1-4EA8368AF066}"/>
    <cellStyle name="Normal 9 3 3 3 3" xfId="5310" xr:uid="{00000000-0005-0000-0000-000012200000}"/>
    <cellStyle name="Normal 9 3 3 3 3 2" xfId="13749" xr:uid="{F931670A-C89D-426E-8D44-215CBBAE5B3B}"/>
    <cellStyle name="Normal 9 3 3 3 4" xfId="9531" xr:uid="{EF63CAAC-43CB-4F8D-86EC-565483A420BE}"/>
    <cellStyle name="Normal 9 3 3 4" xfId="1415" xr:uid="{00000000-0005-0000-0000-000013200000}"/>
    <cellStyle name="Normal 9 3 3 4 2" xfId="3645" xr:uid="{00000000-0005-0000-0000-000014200000}"/>
    <cellStyle name="Normal 9 3 3 4 2 2" xfId="7868" xr:uid="{00000000-0005-0000-0000-000015200000}"/>
    <cellStyle name="Normal 9 3 3 4 2 2 2" xfId="16307" xr:uid="{1D70131C-DF4F-4F9F-9713-1E4838A6ABD5}"/>
    <cellStyle name="Normal 9 3 3 4 2 3" xfId="12089" xr:uid="{5BD3B9CC-8864-40F9-AD4D-AE5DC31955D6}"/>
    <cellStyle name="Normal 9 3 3 4 3" xfId="5723" xr:uid="{00000000-0005-0000-0000-000016200000}"/>
    <cellStyle name="Normal 9 3 3 4 3 2" xfId="14162" xr:uid="{B929F591-2C2E-43DE-B76B-47D662187795}"/>
    <cellStyle name="Normal 9 3 3 4 4" xfId="9944" xr:uid="{8FD4B8E0-EE96-4D47-8317-895D45AE12B5}"/>
    <cellStyle name="Normal 9 3 3 5" xfId="1828" xr:uid="{00000000-0005-0000-0000-000017200000}"/>
    <cellStyle name="Normal 9 3 3 5 2" xfId="4058" xr:uid="{00000000-0005-0000-0000-000018200000}"/>
    <cellStyle name="Normal 9 3 3 5 2 2" xfId="8281" xr:uid="{00000000-0005-0000-0000-000019200000}"/>
    <cellStyle name="Normal 9 3 3 5 2 2 2" xfId="16720" xr:uid="{44A78B71-4627-47F7-BBBD-086F6EB5357D}"/>
    <cellStyle name="Normal 9 3 3 5 2 3" xfId="12502" xr:uid="{9B68BD8C-E893-46D8-B749-493C04DA009B}"/>
    <cellStyle name="Normal 9 3 3 5 3" xfId="6136" xr:uid="{00000000-0005-0000-0000-00001A200000}"/>
    <cellStyle name="Normal 9 3 3 5 3 2" xfId="14575" xr:uid="{BDDC45D5-4B5A-434F-AEA5-73C5FF289EF0}"/>
    <cellStyle name="Normal 9 3 3 5 4" xfId="10357" xr:uid="{248318D2-A882-4F6D-A62A-41DD512BE453}"/>
    <cellStyle name="Normal 9 3 3 6" xfId="2242" xr:uid="{00000000-0005-0000-0000-00001B200000}"/>
    <cellStyle name="Normal 9 3 3 6 2" xfId="4471" xr:uid="{00000000-0005-0000-0000-00001C200000}"/>
    <cellStyle name="Normal 9 3 3 6 2 2" xfId="8694" xr:uid="{00000000-0005-0000-0000-00001D200000}"/>
    <cellStyle name="Normal 9 3 3 6 2 2 2" xfId="17133" xr:uid="{A3AF1D0D-9749-4D94-B8A7-2CD5098D2F1D}"/>
    <cellStyle name="Normal 9 3 3 6 2 3" xfId="12915" xr:uid="{3E0545DA-48D2-4B8E-B535-FBC57DF143E2}"/>
    <cellStyle name="Normal 9 3 3 6 3" xfId="6549" xr:uid="{00000000-0005-0000-0000-00001E200000}"/>
    <cellStyle name="Normal 9 3 3 6 3 2" xfId="14988" xr:uid="{A9A246AD-4879-4F83-A5F1-FDE1DE22CC1F}"/>
    <cellStyle name="Normal 9 3 3 6 4" xfId="10770" xr:uid="{D2BE4CBF-DAF9-4A0E-9326-9C698D1AF1C8}"/>
    <cellStyle name="Normal 9 3 3 7" xfId="2678" xr:uid="{00000000-0005-0000-0000-00001F200000}"/>
    <cellStyle name="Normal 9 3 3 7 2" xfId="6962" xr:uid="{00000000-0005-0000-0000-000020200000}"/>
    <cellStyle name="Normal 9 3 3 7 2 2" xfId="15401" xr:uid="{3B03A89A-3144-4DD7-8655-A56FD342AA0D}"/>
    <cellStyle name="Normal 9 3 3 7 3" xfId="11183" xr:uid="{1004FDE6-98F2-442C-BCBE-ECFB47EE7C81}"/>
    <cellStyle name="Normal 9 3 3 8" xfId="4897" xr:uid="{00000000-0005-0000-0000-000021200000}"/>
    <cellStyle name="Normal 9 3 3 8 2" xfId="13336" xr:uid="{8AB08A95-ACA3-4478-A296-1F1A0DC79EF1}"/>
    <cellStyle name="Normal 9 3 3 9" xfId="9118" xr:uid="{D3817887-674A-4C23-92B9-A94796199BB9}"/>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15896" xr:uid="{7761D942-F672-47EB-8D6F-9F8B4F0C92A3}"/>
    <cellStyle name="Normal 9 3 4 2 2 3" xfId="11678" xr:uid="{837987D0-3BE3-40D8-B174-2C8E604FE0A8}"/>
    <cellStyle name="Normal 9 3 4 2 3" xfId="5312" xr:uid="{00000000-0005-0000-0000-000026200000}"/>
    <cellStyle name="Normal 9 3 4 2 3 2" xfId="13751" xr:uid="{4EA107DA-2864-436C-8D23-A06A3C92B8A4}"/>
    <cellStyle name="Normal 9 3 4 2 4" xfId="9533" xr:uid="{B9EE5CEA-F033-419E-8232-E649B1F0CD8D}"/>
    <cellStyle name="Normal 9 3 4 3" xfId="1417" xr:uid="{00000000-0005-0000-0000-000027200000}"/>
    <cellStyle name="Normal 9 3 4 3 2" xfId="3647" xr:uid="{00000000-0005-0000-0000-000028200000}"/>
    <cellStyle name="Normal 9 3 4 3 2 2" xfId="7870" xr:uid="{00000000-0005-0000-0000-000029200000}"/>
    <cellStyle name="Normal 9 3 4 3 2 2 2" xfId="16309" xr:uid="{3E1A8080-42ED-4BD6-92BE-41F149F682E5}"/>
    <cellStyle name="Normal 9 3 4 3 2 3" xfId="12091" xr:uid="{8A540931-5EA9-4D9B-B3F0-0BBA9CF7224C}"/>
    <cellStyle name="Normal 9 3 4 3 3" xfId="5725" xr:uid="{00000000-0005-0000-0000-00002A200000}"/>
    <cellStyle name="Normal 9 3 4 3 3 2" xfId="14164" xr:uid="{F0BA743B-FCFB-46D4-AAC5-14129334E9C1}"/>
    <cellStyle name="Normal 9 3 4 3 4" xfId="9946" xr:uid="{6C193606-81AC-4F4C-B306-F01E22740AB4}"/>
    <cellStyle name="Normal 9 3 4 4" xfId="1830" xr:uid="{00000000-0005-0000-0000-00002B200000}"/>
    <cellStyle name="Normal 9 3 4 4 2" xfId="4060" xr:uid="{00000000-0005-0000-0000-00002C200000}"/>
    <cellStyle name="Normal 9 3 4 4 2 2" xfId="8283" xr:uid="{00000000-0005-0000-0000-00002D200000}"/>
    <cellStyle name="Normal 9 3 4 4 2 2 2" xfId="16722" xr:uid="{BDE888B4-DC51-4729-A0A2-AF849A3048B9}"/>
    <cellStyle name="Normal 9 3 4 4 2 3" xfId="12504" xr:uid="{3227EE3C-DD83-451D-8262-8318921D1D80}"/>
    <cellStyle name="Normal 9 3 4 4 3" xfId="6138" xr:uid="{00000000-0005-0000-0000-00002E200000}"/>
    <cellStyle name="Normal 9 3 4 4 3 2" xfId="14577" xr:uid="{5D992EE4-5A8F-4607-B53F-B30CC6A70D26}"/>
    <cellStyle name="Normal 9 3 4 4 4" xfId="10359" xr:uid="{58423A65-9CBD-41BB-B92A-640D2B18A224}"/>
    <cellStyle name="Normal 9 3 4 5" xfId="2244" xr:uid="{00000000-0005-0000-0000-00002F200000}"/>
    <cellStyle name="Normal 9 3 4 5 2" xfId="4473" xr:uid="{00000000-0005-0000-0000-000030200000}"/>
    <cellStyle name="Normal 9 3 4 5 2 2" xfId="8696" xr:uid="{00000000-0005-0000-0000-000031200000}"/>
    <cellStyle name="Normal 9 3 4 5 2 2 2" xfId="17135" xr:uid="{4B2D2CA1-2C20-40C9-BD2A-DE62F022657D}"/>
    <cellStyle name="Normal 9 3 4 5 2 3" xfId="12917" xr:uid="{CAE0ED30-81C5-495F-A8C2-A81587D0B476}"/>
    <cellStyle name="Normal 9 3 4 5 3" xfId="6551" xr:uid="{00000000-0005-0000-0000-000032200000}"/>
    <cellStyle name="Normal 9 3 4 5 3 2" xfId="14990" xr:uid="{C8BA4107-B454-42E0-9C41-D44C439461D6}"/>
    <cellStyle name="Normal 9 3 4 5 4" xfId="10772" xr:uid="{0CC3EABA-0334-48CD-B7AD-170B01E56DDA}"/>
    <cellStyle name="Normal 9 3 4 6" xfId="2680" xr:uid="{00000000-0005-0000-0000-000033200000}"/>
    <cellStyle name="Normal 9 3 4 6 2" xfId="6964" xr:uid="{00000000-0005-0000-0000-000034200000}"/>
    <cellStyle name="Normal 9 3 4 6 2 2" xfId="15403" xr:uid="{2E170316-0C9B-4BA1-8A21-3F659358B39E}"/>
    <cellStyle name="Normal 9 3 4 6 3" xfId="11185" xr:uid="{6B4B2EBB-1592-42BC-B9D6-9043EBCF88CD}"/>
    <cellStyle name="Normal 9 3 4 7" xfId="4899" xr:uid="{00000000-0005-0000-0000-000035200000}"/>
    <cellStyle name="Normal 9 3 4 7 2" xfId="13338" xr:uid="{E2FC6BB6-2140-4677-82FB-B478882B6198}"/>
    <cellStyle name="Normal 9 3 4 8" xfId="9120" xr:uid="{9D88703E-1949-4F04-BB47-DC09D001908C}"/>
    <cellStyle name="Normal 9 3 5" xfId="994" xr:uid="{00000000-0005-0000-0000-000036200000}"/>
    <cellStyle name="Normal 9 3 5 2" xfId="3227" xr:uid="{00000000-0005-0000-0000-000037200000}"/>
    <cellStyle name="Normal 9 3 5 2 2" xfId="7450" xr:uid="{00000000-0005-0000-0000-000038200000}"/>
    <cellStyle name="Normal 9 3 5 2 2 2" xfId="15889" xr:uid="{0C99CC7C-A5A3-428B-B9DA-CF8D729C2F2D}"/>
    <cellStyle name="Normal 9 3 5 2 3" xfId="11671" xr:uid="{FAAC704C-2E5D-495C-8FA4-82CD44FCDBEE}"/>
    <cellStyle name="Normal 9 3 5 3" xfId="5305" xr:uid="{00000000-0005-0000-0000-000039200000}"/>
    <cellStyle name="Normal 9 3 5 3 2" xfId="13744" xr:uid="{4E38405D-E3E5-45FD-9624-9B6942CA860B}"/>
    <cellStyle name="Normal 9 3 5 4" xfId="9526" xr:uid="{2FC0EC92-BCB1-4056-8845-4F64319F5A2C}"/>
    <cellStyle name="Normal 9 3 6" xfId="1410" xr:uid="{00000000-0005-0000-0000-00003A200000}"/>
    <cellStyle name="Normal 9 3 6 2" xfId="3640" xr:uid="{00000000-0005-0000-0000-00003B200000}"/>
    <cellStyle name="Normal 9 3 6 2 2" xfId="7863" xr:uid="{00000000-0005-0000-0000-00003C200000}"/>
    <cellStyle name="Normal 9 3 6 2 2 2" xfId="16302" xr:uid="{9F401418-3E9B-41BF-BA92-23C1CC34692B}"/>
    <cellStyle name="Normal 9 3 6 2 3" xfId="12084" xr:uid="{CCFF93BD-45A9-4DBF-AEF6-9621BB99340E}"/>
    <cellStyle name="Normal 9 3 6 3" xfId="5718" xr:uid="{00000000-0005-0000-0000-00003D200000}"/>
    <cellStyle name="Normal 9 3 6 3 2" xfId="14157" xr:uid="{060EB426-5B6B-4480-B00F-F1F392B80E15}"/>
    <cellStyle name="Normal 9 3 6 4" xfId="9939" xr:uid="{C4B79370-25BB-4C0A-A811-B24712C41BAC}"/>
    <cellStyle name="Normal 9 3 7" xfId="1823" xr:uid="{00000000-0005-0000-0000-00003E200000}"/>
    <cellStyle name="Normal 9 3 7 2" xfId="4053" xr:uid="{00000000-0005-0000-0000-00003F200000}"/>
    <cellStyle name="Normal 9 3 7 2 2" xfId="8276" xr:uid="{00000000-0005-0000-0000-000040200000}"/>
    <cellStyle name="Normal 9 3 7 2 2 2" xfId="16715" xr:uid="{4C250D11-0368-40FD-8AC1-C274FC443F21}"/>
    <cellStyle name="Normal 9 3 7 2 3" xfId="12497" xr:uid="{5FDE0E48-0310-497A-B01E-6295A0375E59}"/>
    <cellStyle name="Normal 9 3 7 3" xfId="6131" xr:uid="{00000000-0005-0000-0000-000041200000}"/>
    <cellStyle name="Normal 9 3 7 3 2" xfId="14570" xr:uid="{A87B2C8E-00EB-4168-86D3-9AE562082489}"/>
    <cellStyle name="Normal 9 3 7 4" xfId="10352" xr:uid="{FA50628B-1C40-49BF-886F-5651BA07538C}"/>
    <cellStyle name="Normal 9 3 8" xfId="2237" xr:uid="{00000000-0005-0000-0000-000042200000}"/>
    <cellStyle name="Normal 9 3 8 2" xfId="4466" xr:uid="{00000000-0005-0000-0000-000043200000}"/>
    <cellStyle name="Normal 9 3 8 2 2" xfId="8689" xr:uid="{00000000-0005-0000-0000-000044200000}"/>
    <cellStyle name="Normal 9 3 8 2 2 2" xfId="17128" xr:uid="{9A108404-B971-49D3-A402-DA3CAE430316}"/>
    <cellStyle name="Normal 9 3 8 2 3" xfId="12910" xr:uid="{3DC03C6F-F778-415C-8F72-78EF417A6286}"/>
    <cellStyle name="Normal 9 3 8 3" xfId="6544" xr:uid="{00000000-0005-0000-0000-000045200000}"/>
    <cellStyle name="Normal 9 3 8 3 2" xfId="14983" xr:uid="{B52DAB12-64F7-4C38-93CD-7F9C45AA20F4}"/>
    <cellStyle name="Normal 9 3 8 4" xfId="10765" xr:uid="{01FEA8CD-F650-44A7-B092-875DFC3620AB}"/>
    <cellStyle name="Normal 9 3 9" xfId="2673" xr:uid="{00000000-0005-0000-0000-000046200000}"/>
    <cellStyle name="Normal 9 3 9 2" xfId="6957" xr:uid="{00000000-0005-0000-0000-000047200000}"/>
    <cellStyle name="Normal 9 3 9 2 2" xfId="15396" xr:uid="{3D35F6DE-89C8-48C8-A0DB-2CC5210A2357}"/>
    <cellStyle name="Normal 9 3 9 3" xfId="11178" xr:uid="{0FE17F5A-4BA3-4BFF-95F7-F2685BA7118B}"/>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15898" xr:uid="{06E377E7-C353-44A6-8A85-7FC18B63A732}"/>
    <cellStyle name="Normal 9 5 2 2 2 3" xfId="11680" xr:uid="{C6FF6FBC-BF0F-489F-B7B6-22E8BE7BC36A}"/>
    <cellStyle name="Normal 9 5 2 2 3" xfId="5314" xr:uid="{00000000-0005-0000-0000-00004F200000}"/>
    <cellStyle name="Normal 9 5 2 2 3 2" xfId="13753" xr:uid="{B361C71E-6899-4CC2-9EDD-65A44289C7D8}"/>
    <cellStyle name="Normal 9 5 2 2 4" xfId="9535" xr:uid="{9A79E531-45F6-47CE-9AC5-2CB0669A8A4D}"/>
    <cellStyle name="Normal 9 5 2 3" xfId="1419" xr:uid="{00000000-0005-0000-0000-000050200000}"/>
    <cellStyle name="Normal 9 5 2 3 2" xfId="3649" xr:uid="{00000000-0005-0000-0000-000051200000}"/>
    <cellStyle name="Normal 9 5 2 3 2 2" xfId="7872" xr:uid="{00000000-0005-0000-0000-000052200000}"/>
    <cellStyle name="Normal 9 5 2 3 2 2 2" xfId="16311" xr:uid="{DA306DFC-84CD-442D-9860-62EE4D144E83}"/>
    <cellStyle name="Normal 9 5 2 3 2 3" xfId="12093" xr:uid="{87132DFF-7964-488C-BDA2-0790780D07F2}"/>
    <cellStyle name="Normal 9 5 2 3 3" xfId="5727" xr:uid="{00000000-0005-0000-0000-000053200000}"/>
    <cellStyle name="Normal 9 5 2 3 3 2" xfId="14166" xr:uid="{A7737179-1F13-475B-8F2D-904873BED9DF}"/>
    <cellStyle name="Normal 9 5 2 3 4" xfId="9948" xr:uid="{E17C54FC-5629-4A84-B43A-5F4F7C6F979B}"/>
    <cellStyle name="Normal 9 5 2 4" xfId="1832" xr:uid="{00000000-0005-0000-0000-000054200000}"/>
    <cellStyle name="Normal 9 5 2 4 2" xfId="4062" xr:uid="{00000000-0005-0000-0000-000055200000}"/>
    <cellStyle name="Normal 9 5 2 4 2 2" xfId="8285" xr:uid="{00000000-0005-0000-0000-000056200000}"/>
    <cellStyle name="Normal 9 5 2 4 2 2 2" xfId="16724" xr:uid="{F4A9B4A7-5831-4F91-ACB1-D1209B844065}"/>
    <cellStyle name="Normal 9 5 2 4 2 3" xfId="12506" xr:uid="{3F08BE28-2526-4AF8-8F4F-4513ADECF024}"/>
    <cellStyle name="Normal 9 5 2 4 3" xfId="6140" xr:uid="{00000000-0005-0000-0000-000057200000}"/>
    <cellStyle name="Normal 9 5 2 4 3 2" xfId="14579" xr:uid="{F4BF523C-14AB-4B12-8A28-95F236ACF6E0}"/>
    <cellStyle name="Normal 9 5 2 4 4" xfId="10361" xr:uid="{3639222F-FFAC-48FD-BDA3-1628C67B5421}"/>
    <cellStyle name="Normal 9 5 2 5" xfId="2246" xr:uid="{00000000-0005-0000-0000-000058200000}"/>
    <cellStyle name="Normal 9 5 2 5 2" xfId="4475" xr:uid="{00000000-0005-0000-0000-000059200000}"/>
    <cellStyle name="Normal 9 5 2 5 2 2" xfId="8698" xr:uid="{00000000-0005-0000-0000-00005A200000}"/>
    <cellStyle name="Normal 9 5 2 5 2 2 2" xfId="17137" xr:uid="{5C512EDA-AC7D-4C7E-92E0-26991F3144D6}"/>
    <cellStyle name="Normal 9 5 2 5 2 3" xfId="12919" xr:uid="{38DEDC6E-9C5D-477D-A318-8F281106D46B}"/>
    <cellStyle name="Normal 9 5 2 5 3" xfId="6553" xr:uid="{00000000-0005-0000-0000-00005B200000}"/>
    <cellStyle name="Normal 9 5 2 5 3 2" xfId="14992" xr:uid="{70C1ADBD-716F-464C-915A-233641120AF2}"/>
    <cellStyle name="Normal 9 5 2 5 4" xfId="10774" xr:uid="{99701666-7E42-4E32-9618-EA2D88AA7A95}"/>
    <cellStyle name="Normal 9 5 2 6" xfId="2682" xr:uid="{00000000-0005-0000-0000-00005C200000}"/>
    <cellStyle name="Normal 9 5 2 6 2" xfId="6966" xr:uid="{00000000-0005-0000-0000-00005D200000}"/>
    <cellStyle name="Normal 9 5 2 6 2 2" xfId="15405" xr:uid="{23E88495-F440-4086-B92B-1A5C633CAD35}"/>
    <cellStyle name="Normal 9 5 2 6 3" xfId="11187" xr:uid="{B6DF245D-1535-48CB-8C35-3CC79BD85423}"/>
    <cellStyle name="Normal 9 5 2 7" xfId="4901" xr:uid="{00000000-0005-0000-0000-00005E200000}"/>
    <cellStyle name="Normal 9 5 2 7 2" xfId="13340" xr:uid="{3EA0A72C-988C-4CF3-A7E6-F5C3420FE0EE}"/>
    <cellStyle name="Normal 9 5 2 8" xfId="9122" xr:uid="{1862E22A-3B3C-4BD5-B493-A7BA23C4B61D}"/>
    <cellStyle name="Normal 9 5 3" xfId="1003" xr:uid="{00000000-0005-0000-0000-00005F200000}"/>
    <cellStyle name="Normal 9 5 3 2" xfId="3235" xr:uid="{00000000-0005-0000-0000-000060200000}"/>
    <cellStyle name="Normal 9 5 3 2 2" xfId="7458" xr:uid="{00000000-0005-0000-0000-000061200000}"/>
    <cellStyle name="Normal 9 5 3 2 2 2" xfId="15897" xr:uid="{6543D7D1-DD61-469F-AD21-6BE74E84EB0C}"/>
    <cellStyle name="Normal 9 5 3 2 3" xfId="11679" xr:uid="{BF782E16-EBF8-4137-9074-A0106377560F}"/>
    <cellStyle name="Normal 9 5 3 3" xfId="5313" xr:uid="{00000000-0005-0000-0000-000062200000}"/>
    <cellStyle name="Normal 9 5 3 3 2" xfId="13752" xr:uid="{0B0A43B1-69BD-474B-8C72-6CCF99A38E36}"/>
    <cellStyle name="Normal 9 5 3 4" xfId="9534" xr:uid="{BD13AAAE-1234-4044-9E03-557724B2ECFD}"/>
    <cellStyle name="Normal 9 5 4" xfId="1418" xr:uid="{00000000-0005-0000-0000-000063200000}"/>
    <cellStyle name="Normal 9 5 4 2" xfId="3648" xr:uid="{00000000-0005-0000-0000-000064200000}"/>
    <cellStyle name="Normal 9 5 4 2 2" xfId="7871" xr:uid="{00000000-0005-0000-0000-000065200000}"/>
    <cellStyle name="Normal 9 5 4 2 2 2" xfId="16310" xr:uid="{423B9603-5A87-4D9A-B629-BDBAAFE9110C}"/>
    <cellStyle name="Normal 9 5 4 2 3" xfId="12092" xr:uid="{3830FDA4-F5F7-410A-9319-524B2B1CC327}"/>
    <cellStyle name="Normal 9 5 4 3" xfId="5726" xr:uid="{00000000-0005-0000-0000-000066200000}"/>
    <cellStyle name="Normal 9 5 4 3 2" xfId="14165" xr:uid="{A61B9E4C-E349-4D2C-B5AE-65697F1C2E66}"/>
    <cellStyle name="Normal 9 5 4 4" xfId="9947" xr:uid="{20F6D65B-B99F-4FFD-B178-6B46206A5DAD}"/>
    <cellStyle name="Normal 9 5 5" xfId="1831" xr:uid="{00000000-0005-0000-0000-000067200000}"/>
    <cellStyle name="Normal 9 5 5 2" xfId="4061" xr:uid="{00000000-0005-0000-0000-000068200000}"/>
    <cellStyle name="Normal 9 5 5 2 2" xfId="8284" xr:uid="{00000000-0005-0000-0000-000069200000}"/>
    <cellStyle name="Normal 9 5 5 2 2 2" xfId="16723" xr:uid="{313BBD2E-4E14-4429-A09B-C3416A4B9FDF}"/>
    <cellStyle name="Normal 9 5 5 2 3" xfId="12505" xr:uid="{511365EC-B3D7-49B5-8414-140F21884199}"/>
    <cellStyle name="Normal 9 5 5 3" xfId="6139" xr:uid="{00000000-0005-0000-0000-00006A200000}"/>
    <cellStyle name="Normal 9 5 5 3 2" xfId="14578" xr:uid="{28CC61E2-A85A-47C4-8BEA-3EA8C297CD29}"/>
    <cellStyle name="Normal 9 5 5 4" xfId="10360" xr:uid="{B4A6B33B-E91A-4D3D-8B61-1A57A7A445E6}"/>
    <cellStyle name="Normal 9 5 6" xfId="2245" xr:uid="{00000000-0005-0000-0000-00006B200000}"/>
    <cellStyle name="Normal 9 5 6 2" xfId="4474" xr:uid="{00000000-0005-0000-0000-00006C200000}"/>
    <cellStyle name="Normal 9 5 6 2 2" xfId="8697" xr:uid="{00000000-0005-0000-0000-00006D200000}"/>
    <cellStyle name="Normal 9 5 6 2 2 2" xfId="17136" xr:uid="{2C099C2B-C783-4D0E-9570-BB3784E6CC68}"/>
    <cellStyle name="Normal 9 5 6 2 3" xfId="12918" xr:uid="{E46967A9-9DE0-4047-A0B1-5B20E4E887BC}"/>
    <cellStyle name="Normal 9 5 6 3" xfId="6552" xr:uid="{00000000-0005-0000-0000-00006E200000}"/>
    <cellStyle name="Normal 9 5 6 3 2" xfId="14991" xr:uid="{108E33C5-57DD-4ADD-B3D5-D93A06E2C502}"/>
    <cellStyle name="Normal 9 5 6 4" xfId="10773" xr:uid="{ECE955F1-8845-4308-9FFD-7809B77FC013}"/>
    <cellStyle name="Normal 9 5 7" xfId="2681" xr:uid="{00000000-0005-0000-0000-00006F200000}"/>
    <cellStyle name="Normal 9 5 7 2" xfId="6965" xr:uid="{00000000-0005-0000-0000-000070200000}"/>
    <cellStyle name="Normal 9 5 7 2 2" xfId="15404" xr:uid="{C1B1AAEF-5EBE-4957-A30C-7DB7F75BDA58}"/>
    <cellStyle name="Normal 9 5 7 3" xfId="11186" xr:uid="{BB1C4AF7-F841-47C2-B812-46AA950D57C8}"/>
    <cellStyle name="Normal 9 5 8" xfId="4900" xr:uid="{00000000-0005-0000-0000-000071200000}"/>
    <cellStyle name="Normal 9 5 8 2" xfId="13339" xr:uid="{2A04553C-4744-4ECD-B9A5-3C105B67F48E}"/>
    <cellStyle name="Normal 9 5 9" xfId="9121" xr:uid="{CDB54B87-35C8-432D-B6B8-AAAA81D68D1A}"/>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15899" xr:uid="{58F53360-D479-45B0-B888-BAA34A14C31B}"/>
    <cellStyle name="Normal 9 6 2 2 3" xfId="11681" xr:uid="{A13E18F1-A82C-482F-9FAE-37D62644CA4B}"/>
    <cellStyle name="Normal 9 6 2 3" xfId="5315" xr:uid="{00000000-0005-0000-0000-000076200000}"/>
    <cellStyle name="Normal 9 6 2 3 2" xfId="13754" xr:uid="{B8217190-1D72-49A5-9A0D-0DB04E817D50}"/>
    <cellStyle name="Normal 9 6 2 4" xfId="9536" xr:uid="{555FB015-F464-43D3-81C0-5E9766DA5812}"/>
    <cellStyle name="Normal 9 6 3" xfId="1420" xr:uid="{00000000-0005-0000-0000-000077200000}"/>
    <cellStyle name="Normal 9 6 3 2" xfId="3650" xr:uid="{00000000-0005-0000-0000-000078200000}"/>
    <cellStyle name="Normal 9 6 3 2 2" xfId="7873" xr:uid="{00000000-0005-0000-0000-000079200000}"/>
    <cellStyle name="Normal 9 6 3 2 2 2" xfId="16312" xr:uid="{04B36007-D97C-4551-9EFD-D09E7B796C0A}"/>
    <cellStyle name="Normal 9 6 3 2 3" xfId="12094" xr:uid="{F677E3DE-ECCC-4149-9333-310A4BFFC62F}"/>
    <cellStyle name="Normal 9 6 3 3" xfId="5728" xr:uid="{00000000-0005-0000-0000-00007A200000}"/>
    <cellStyle name="Normal 9 6 3 3 2" xfId="14167" xr:uid="{80A5B135-F52C-49D7-A58D-25C60DAE30D8}"/>
    <cellStyle name="Normal 9 6 3 4" xfId="9949" xr:uid="{217A85D2-BB2D-4777-A0D3-20431BC6880B}"/>
    <cellStyle name="Normal 9 6 4" xfId="1833" xr:uid="{00000000-0005-0000-0000-00007B200000}"/>
    <cellStyle name="Normal 9 6 4 2" xfId="4063" xr:uid="{00000000-0005-0000-0000-00007C200000}"/>
    <cellStyle name="Normal 9 6 4 2 2" xfId="8286" xr:uid="{00000000-0005-0000-0000-00007D200000}"/>
    <cellStyle name="Normal 9 6 4 2 2 2" xfId="16725" xr:uid="{29823D97-C42C-4C8B-999A-57C6436778E5}"/>
    <cellStyle name="Normal 9 6 4 2 3" xfId="12507" xr:uid="{079796BA-8C93-4B27-A101-21799A841741}"/>
    <cellStyle name="Normal 9 6 4 3" xfId="6141" xr:uid="{00000000-0005-0000-0000-00007E200000}"/>
    <cellStyle name="Normal 9 6 4 3 2" xfId="14580" xr:uid="{2E9B1F5B-1BBD-498C-AB67-18C9E4C2F598}"/>
    <cellStyle name="Normal 9 6 4 4" xfId="10362" xr:uid="{C4C8A037-6AFE-44AE-9A5D-E78B2AA0F586}"/>
    <cellStyle name="Normal 9 6 5" xfId="2247" xr:uid="{00000000-0005-0000-0000-00007F200000}"/>
    <cellStyle name="Normal 9 6 5 2" xfId="4476" xr:uid="{00000000-0005-0000-0000-000080200000}"/>
    <cellStyle name="Normal 9 6 5 2 2" xfId="8699" xr:uid="{00000000-0005-0000-0000-000081200000}"/>
    <cellStyle name="Normal 9 6 5 2 2 2" xfId="17138" xr:uid="{FDF41933-8109-414E-9D3C-4A552AED44DC}"/>
    <cellStyle name="Normal 9 6 5 2 3" xfId="12920" xr:uid="{D8956D23-0510-4FEF-B14D-00609669FAA3}"/>
    <cellStyle name="Normal 9 6 5 3" xfId="6554" xr:uid="{00000000-0005-0000-0000-000082200000}"/>
    <cellStyle name="Normal 9 6 5 3 2" xfId="14993" xr:uid="{F852C739-6463-4AC0-843D-C0A1D9050580}"/>
    <cellStyle name="Normal 9 6 5 4" xfId="10775" xr:uid="{3524D855-2A75-4B60-807C-4EE32A3340FC}"/>
    <cellStyle name="Normal 9 6 6" xfId="2683" xr:uid="{00000000-0005-0000-0000-000083200000}"/>
    <cellStyle name="Normal 9 6 6 2" xfId="6967" xr:uid="{00000000-0005-0000-0000-000084200000}"/>
    <cellStyle name="Normal 9 6 6 2 2" xfId="15406" xr:uid="{DEFAAC89-5248-4C32-92FE-F7704AAC6BFB}"/>
    <cellStyle name="Normal 9 6 6 3" xfId="11188" xr:uid="{FC0F2EFB-4220-45D3-B6B3-E738716F8C79}"/>
    <cellStyle name="Normal 9 6 7" xfId="4902" xr:uid="{00000000-0005-0000-0000-000085200000}"/>
    <cellStyle name="Normal 9 6 7 2" xfId="13341" xr:uid="{6514A6F9-7378-4F4F-8340-4E9FD8B46D89}"/>
    <cellStyle name="Normal 9 6 8" xfId="9123" xr:uid="{66CFFB02-EA5C-4EC7-B868-72AED3D32F53}"/>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15487" xr:uid="{6C022E7B-3E3A-49FB-9CE3-F9167A107A68}"/>
    <cellStyle name="Note 2 2 10 3" xfId="11269" xr:uid="{3153DCEC-BD39-43A2-A72F-4B1DB374F998}"/>
    <cellStyle name="Note 2 2 11" xfId="4903" xr:uid="{00000000-0005-0000-0000-000094200000}"/>
    <cellStyle name="Note 2 2 11 2" xfId="13342" xr:uid="{90268C92-A7E1-48AE-9F5F-0DCD172D7A6B}"/>
    <cellStyle name="Note 2 2 12" xfId="9124" xr:uid="{EF2C1C0C-8C2A-461A-8EFF-CC979629BB01}"/>
    <cellStyle name="Note 2 2 2" xfId="546" xr:uid="{00000000-0005-0000-0000-000095200000}"/>
    <cellStyle name="Note 2 2 2 10" xfId="4904" xr:uid="{00000000-0005-0000-0000-000096200000}"/>
    <cellStyle name="Note 2 2 2 10 2" xfId="13343" xr:uid="{FFA6C897-BE39-4D07-ADD1-0378DB8D4D62}"/>
    <cellStyle name="Note 2 2 2 11" xfId="9125" xr:uid="{FA64B3B9-3685-4623-9792-7F3741C204C8}"/>
    <cellStyle name="Note 2 2 2 2" xfId="547" xr:uid="{00000000-0005-0000-0000-000097200000}"/>
    <cellStyle name="Note 2 2 2 2 10" xfId="9126" xr:uid="{EE7BAA37-E6C0-4424-8138-793AF579F3AD}"/>
    <cellStyle name="Note 2 2 2 2 2" xfId="1008" xr:uid="{00000000-0005-0000-0000-000098200000}"/>
    <cellStyle name="Note 2 2 2 2 2 2" xfId="3240" xr:uid="{00000000-0005-0000-0000-000099200000}"/>
    <cellStyle name="Note 2 2 2 2 2 2 2" xfId="7463" xr:uid="{00000000-0005-0000-0000-00009A200000}"/>
    <cellStyle name="Note 2 2 2 2 2 2 2 2" xfId="15902" xr:uid="{B937F5D4-57BB-4802-96C3-0DBD349B8EF1}"/>
    <cellStyle name="Note 2 2 2 2 2 2 3" xfId="11684" xr:uid="{0655ECA6-546A-4F38-AFC8-D25BCBE8958C}"/>
    <cellStyle name="Note 2 2 2 2 2 3" xfId="5318" xr:uid="{00000000-0005-0000-0000-00009B200000}"/>
    <cellStyle name="Note 2 2 2 2 2 3 2" xfId="13757" xr:uid="{CB737A3F-1843-40A5-AA56-E2BA682E71DB}"/>
    <cellStyle name="Note 2 2 2 2 2 4" xfId="9539" xr:uid="{538ED504-1377-4DE1-9D27-86FB707359B9}"/>
    <cellStyle name="Note 2 2 2 2 3" xfId="1423" xr:uid="{00000000-0005-0000-0000-00009C200000}"/>
    <cellStyle name="Note 2 2 2 2 3 2" xfId="3653" xr:uid="{00000000-0005-0000-0000-00009D200000}"/>
    <cellStyle name="Note 2 2 2 2 3 2 2" xfId="7876" xr:uid="{00000000-0005-0000-0000-00009E200000}"/>
    <cellStyle name="Note 2 2 2 2 3 2 2 2" xfId="16315" xr:uid="{397FEFFD-E265-4A98-BA18-5BD8882FDF9D}"/>
    <cellStyle name="Note 2 2 2 2 3 2 3" xfId="12097" xr:uid="{2BD31883-D9FE-4C65-998C-7E6517839BE2}"/>
    <cellStyle name="Note 2 2 2 2 3 3" xfId="5731" xr:uid="{00000000-0005-0000-0000-00009F200000}"/>
    <cellStyle name="Note 2 2 2 2 3 3 2" xfId="14170" xr:uid="{672C8983-C331-40AC-A555-06396E5A8AF2}"/>
    <cellStyle name="Note 2 2 2 2 3 4" xfId="9952" xr:uid="{D2454A2D-1D0C-4558-9FF2-59B24C39BD27}"/>
    <cellStyle name="Note 2 2 2 2 4" xfId="1837" xr:uid="{00000000-0005-0000-0000-0000A0200000}"/>
    <cellStyle name="Note 2 2 2 2 4 2" xfId="4066" xr:uid="{00000000-0005-0000-0000-0000A1200000}"/>
    <cellStyle name="Note 2 2 2 2 4 2 2" xfId="8289" xr:uid="{00000000-0005-0000-0000-0000A2200000}"/>
    <cellStyle name="Note 2 2 2 2 4 2 2 2" xfId="16728" xr:uid="{F05F0F0A-7CB2-4FB7-B579-79320353F19F}"/>
    <cellStyle name="Note 2 2 2 2 4 2 3" xfId="12510" xr:uid="{DD05A349-B6C3-4EC8-98CD-31DC6886D1F7}"/>
    <cellStyle name="Note 2 2 2 2 4 3" xfId="6144" xr:uid="{00000000-0005-0000-0000-0000A3200000}"/>
    <cellStyle name="Note 2 2 2 2 4 3 2" xfId="14583" xr:uid="{D55772B8-E09F-46CD-BB2E-B462AE97A81A}"/>
    <cellStyle name="Note 2 2 2 2 4 4" xfId="10365" xr:uid="{5D479099-CFBC-44FA-A2CD-57B12380F14A}"/>
    <cellStyle name="Note 2 2 2 2 5" xfId="2250" xr:uid="{00000000-0005-0000-0000-0000A4200000}"/>
    <cellStyle name="Note 2 2 2 2 5 2" xfId="4479" xr:uid="{00000000-0005-0000-0000-0000A5200000}"/>
    <cellStyle name="Note 2 2 2 2 5 2 2" xfId="8702" xr:uid="{00000000-0005-0000-0000-0000A6200000}"/>
    <cellStyle name="Note 2 2 2 2 5 2 2 2" xfId="17141" xr:uid="{CE579226-D2B2-4802-AD68-810629E0F7D2}"/>
    <cellStyle name="Note 2 2 2 2 5 2 3" xfId="12923" xr:uid="{BCFC1380-0637-45BC-963C-BD2E9EF542B7}"/>
    <cellStyle name="Note 2 2 2 2 5 3" xfId="6557" xr:uid="{00000000-0005-0000-0000-0000A7200000}"/>
    <cellStyle name="Note 2 2 2 2 5 3 2" xfId="14996" xr:uid="{FBBE301D-3F39-48B5-813F-E898C272AD71}"/>
    <cellStyle name="Note 2 2 2 2 5 4" xfId="10778" xr:uid="{56D7A976-2DEB-4121-AF5A-74498EA2D1A7}"/>
    <cellStyle name="Note 2 2 2 2 6" xfId="2686" xr:uid="{00000000-0005-0000-0000-0000A8200000}"/>
    <cellStyle name="Note 2 2 2 2 6 2" xfId="6970" xr:uid="{00000000-0005-0000-0000-0000A9200000}"/>
    <cellStyle name="Note 2 2 2 2 6 2 2" xfId="15409" xr:uid="{A6A9EBB2-6127-45B6-BC5E-E26EE1CE3866}"/>
    <cellStyle name="Note 2 2 2 2 6 3" xfId="11191" xr:uid="{81971475-0D0A-4807-91EA-388E27F88E62}"/>
    <cellStyle name="Note 2 2 2 2 7" xfId="2745" xr:uid="{00000000-0005-0000-0000-0000AA200000}"/>
    <cellStyle name="Note 2 2 2 2 8" xfId="2826" xr:uid="{00000000-0005-0000-0000-0000AB200000}"/>
    <cellStyle name="Note 2 2 2 2 8 2" xfId="7050" xr:uid="{00000000-0005-0000-0000-0000AC200000}"/>
    <cellStyle name="Note 2 2 2 2 8 2 2" xfId="15489" xr:uid="{87EB99D4-5D81-4DCE-9B0A-9A9183753CE0}"/>
    <cellStyle name="Note 2 2 2 2 8 3" xfId="11271" xr:uid="{BAD2FC07-808F-4819-ACC1-8F019ADEB767}"/>
    <cellStyle name="Note 2 2 2 2 9" xfId="4905" xr:uid="{00000000-0005-0000-0000-0000AD200000}"/>
    <cellStyle name="Note 2 2 2 2 9 2" xfId="13344" xr:uid="{FF0C583F-6FC9-4D45-A80D-A31C386BB241}"/>
    <cellStyle name="Note 2 2 2 3" xfId="1007" xr:uid="{00000000-0005-0000-0000-0000AE200000}"/>
    <cellStyle name="Note 2 2 2 3 2" xfId="3239" xr:uid="{00000000-0005-0000-0000-0000AF200000}"/>
    <cellStyle name="Note 2 2 2 3 2 2" xfId="7462" xr:uid="{00000000-0005-0000-0000-0000B0200000}"/>
    <cellStyle name="Note 2 2 2 3 2 2 2" xfId="15901" xr:uid="{D2BD7AA0-6B0B-42B4-9B53-080305D2C20C}"/>
    <cellStyle name="Note 2 2 2 3 2 3" xfId="11683" xr:uid="{4DED7425-E475-4B64-A9DD-3919504AF417}"/>
    <cellStyle name="Note 2 2 2 3 3" xfId="5317" xr:uid="{00000000-0005-0000-0000-0000B1200000}"/>
    <cellStyle name="Note 2 2 2 3 3 2" xfId="13756" xr:uid="{95DD1897-5C83-4E84-BB69-6EAB14D4A303}"/>
    <cellStyle name="Note 2 2 2 3 4" xfId="9538" xr:uid="{306F20E3-8DD4-4AE0-81D7-B82B8B449D85}"/>
    <cellStyle name="Note 2 2 2 4" xfId="1422" xr:uid="{00000000-0005-0000-0000-0000B2200000}"/>
    <cellStyle name="Note 2 2 2 4 2" xfId="3652" xr:uid="{00000000-0005-0000-0000-0000B3200000}"/>
    <cellStyle name="Note 2 2 2 4 2 2" xfId="7875" xr:uid="{00000000-0005-0000-0000-0000B4200000}"/>
    <cellStyle name="Note 2 2 2 4 2 2 2" xfId="16314" xr:uid="{E3B9FB93-3143-4582-8412-7EC258BC553C}"/>
    <cellStyle name="Note 2 2 2 4 2 3" xfId="12096" xr:uid="{39A0F2FE-BB43-46AB-B7D8-4967A80552D9}"/>
    <cellStyle name="Note 2 2 2 4 3" xfId="5730" xr:uid="{00000000-0005-0000-0000-0000B5200000}"/>
    <cellStyle name="Note 2 2 2 4 3 2" xfId="14169" xr:uid="{7E9BBF11-0C35-4023-B5BE-8A16880A9840}"/>
    <cellStyle name="Note 2 2 2 4 4" xfId="9951" xr:uid="{B8019AF1-B36A-4E47-903B-A28E93CC5136}"/>
    <cellStyle name="Note 2 2 2 5" xfId="1836" xr:uid="{00000000-0005-0000-0000-0000B6200000}"/>
    <cellStyle name="Note 2 2 2 5 2" xfId="4065" xr:uid="{00000000-0005-0000-0000-0000B7200000}"/>
    <cellStyle name="Note 2 2 2 5 2 2" xfId="8288" xr:uid="{00000000-0005-0000-0000-0000B8200000}"/>
    <cellStyle name="Note 2 2 2 5 2 2 2" xfId="16727" xr:uid="{E6803A05-6CC9-4E95-A386-0D5E1D56F6A4}"/>
    <cellStyle name="Note 2 2 2 5 2 3" xfId="12509" xr:uid="{B1212BB1-B6D7-44CD-BD4A-D556F0B8D1AB}"/>
    <cellStyle name="Note 2 2 2 5 3" xfId="6143" xr:uid="{00000000-0005-0000-0000-0000B9200000}"/>
    <cellStyle name="Note 2 2 2 5 3 2" xfId="14582" xr:uid="{522AE477-4617-484B-A09C-0DD71F314283}"/>
    <cellStyle name="Note 2 2 2 5 4" xfId="10364" xr:uid="{6D2BB782-FF5A-49AF-8061-F19B5F67D020}"/>
    <cellStyle name="Note 2 2 2 6" xfId="2249" xr:uid="{00000000-0005-0000-0000-0000BA200000}"/>
    <cellStyle name="Note 2 2 2 6 2" xfId="4478" xr:uid="{00000000-0005-0000-0000-0000BB200000}"/>
    <cellStyle name="Note 2 2 2 6 2 2" xfId="8701" xr:uid="{00000000-0005-0000-0000-0000BC200000}"/>
    <cellStyle name="Note 2 2 2 6 2 2 2" xfId="17140" xr:uid="{A7D3EEAD-EDBE-49FA-888C-A462105743B6}"/>
    <cellStyle name="Note 2 2 2 6 2 3" xfId="12922" xr:uid="{AE37F607-C3A9-4270-B156-7B0F52A45DB6}"/>
    <cellStyle name="Note 2 2 2 6 3" xfId="6556" xr:uid="{00000000-0005-0000-0000-0000BD200000}"/>
    <cellStyle name="Note 2 2 2 6 3 2" xfId="14995" xr:uid="{5D1F2530-D053-40FE-A693-BD54B0FD317C}"/>
    <cellStyle name="Note 2 2 2 6 4" xfId="10777" xr:uid="{D1336D45-4680-4591-B67E-54E9F2670219}"/>
    <cellStyle name="Note 2 2 2 7" xfId="2685" xr:uid="{00000000-0005-0000-0000-0000BE200000}"/>
    <cellStyle name="Note 2 2 2 7 2" xfId="6969" xr:uid="{00000000-0005-0000-0000-0000BF200000}"/>
    <cellStyle name="Note 2 2 2 7 2 2" xfId="15408" xr:uid="{42DCADDB-E88D-463F-8B6E-048189C5C290}"/>
    <cellStyle name="Note 2 2 2 7 3" xfId="11190" xr:uid="{C3985295-EFEE-4E20-B466-FBAAF2C1D912}"/>
    <cellStyle name="Note 2 2 2 8" xfId="2744" xr:uid="{00000000-0005-0000-0000-0000C0200000}"/>
    <cellStyle name="Note 2 2 2 9" xfId="2825" xr:uid="{00000000-0005-0000-0000-0000C1200000}"/>
    <cellStyle name="Note 2 2 2 9 2" xfId="7049" xr:uid="{00000000-0005-0000-0000-0000C2200000}"/>
    <cellStyle name="Note 2 2 2 9 2 2" xfId="15488" xr:uid="{3C95DC4D-1795-4154-B32B-8533E4B8FB24}"/>
    <cellStyle name="Note 2 2 2 9 3" xfId="11270" xr:uid="{B02BF760-D939-43DF-8D21-DCB0D484F4F9}"/>
    <cellStyle name="Note 2 2 3" xfId="548" xr:uid="{00000000-0005-0000-0000-0000C3200000}"/>
    <cellStyle name="Note 2 2 3 10" xfId="9127" xr:uid="{710E187A-6D28-4E2C-97F0-7294769C75F8}"/>
    <cellStyle name="Note 2 2 3 2" xfId="1009" xr:uid="{00000000-0005-0000-0000-0000C4200000}"/>
    <cellStyle name="Note 2 2 3 2 2" xfId="3241" xr:uid="{00000000-0005-0000-0000-0000C5200000}"/>
    <cellStyle name="Note 2 2 3 2 2 2" xfId="7464" xr:uid="{00000000-0005-0000-0000-0000C6200000}"/>
    <cellStyle name="Note 2 2 3 2 2 2 2" xfId="15903" xr:uid="{0AC1D315-93E7-4FB0-AD35-BB187C7BDB0F}"/>
    <cellStyle name="Note 2 2 3 2 2 3" xfId="11685" xr:uid="{C1F48262-4B04-4708-B03D-A157BA490282}"/>
    <cellStyle name="Note 2 2 3 2 3" xfId="5319" xr:uid="{00000000-0005-0000-0000-0000C7200000}"/>
    <cellStyle name="Note 2 2 3 2 3 2" xfId="13758" xr:uid="{EA6A1E26-4EED-4B44-8079-C888BAAD1135}"/>
    <cellStyle name="Note 2 2 3 2 4" xfId="9540" xr:uid="{75F134FC-829C-4696-A689-905C80EA2723}"/>
    <cellStyle name="Note 2 2 3 3" xfId="1424" xr:uid="{00000000-0005-0000-0000-0000C8200000}"/>
    <cellStyle name="Note 2 2 3 3 2" xfId="3654" xr:uid="{00000000-0005-0000-0000-0000C9200000}"/>
    <cellStyle name="Note 2 2 3 3 2 2" xfId="7877" xr:uid="{00000000-0005-0000-0000-0000CA200000}"/>
    <cellStyle name="Note 2 2 3 3 2 2 2" xfId="16316" xr:uid="{7CF4737A-3B09-43FC-8A5A-E3A116F55FDE}"/>
    <cellStyle name="Note 2 2 3 3 2 3" xfId="12098" xr:uid="{939D1D95-BA52-4B0B-8C18-2901DB110C88}"/>
    <cellStyle name="Note 2 2 3 3 3" xfId="5732" xr:uid="{00000000-0005-0000-0000-0000CB200000}"/>
    <cellStyle name="Note 2 2 3 3 3 2" xfId="14171" xr:uid="{000B07C4-498D-49E8-8653-A64B726C13FC}"/>
    <cellStyle name="Note 2 2 3 3 4" xfId="9953" xr:uid="{64B78004-EBBD-4CBD-A575-82CDDFD98B38}"/>
    <cellStyle name="Note 2 2 3 4" xfId="1838" xr:uid="{00000000-0005-0000-0000-0000CC200000}"/>
    <cellStyle name="Note 2 2 3 4 2" xfId="4067" xr:uid="{00000000-0005-0000-0000-0000CD200000}"/>
    <cellStyle name="Note 2 2 3 4 2 2" xfId="8290" xr:uid="{00000000-0005-0000-0000-0000CE200000}"/>
    <cellStyle name="Note 2 2 3 4 2 2 2" xfId="16729" xr:uid="{54F06C63-B879-4856-B2A8-B203CDBA53C5}"/>
    <cellStyle name="Note 2 2 3 4 2 3" xfId="12511" xr:uid="{6D0A12CF-C839-4291-8B29-6E05B618ECA0}"/>
    <cellStyle name="Note 2 2 3 4 3" xfId="6145" xr:uid="{00000000-0005-0000-0000-0000CF200000}"/>
    <cellStyle name="Note 2 2 3 4 3 2" xfId="14584" xr:uid="{A50B9B7B-C4D5-4DE5-A14E-F288C4BB6D1A}"/>
    <cellStyle name="Note 2 2 3 4 4" xfId="10366" xr:uid="{D4D783B4-C734-4353-8006-F54751CA6E2F}"/>
    <cellStyle name="Note 2 2 3 5" xfId="2251" xr:uid="{00000000-0005-0000-0000-0000D0200000}"/>
    <cellStyle name="Note 2 2 3 5 2" xfId="4480" xr:uid="{00000000-0005-0000-0000-0000D1200000}"/>
    <cellStyle name="Note 2 2 3 5 2 2" xfId="8703" xr:uid="{00000000-0005-0000-0000-0000D2200000}"/>
    <cellStyle name="Note 2 2 3 5 2 2 2" xfId="17142" xr:uid="{E9C988C7-5ADB-42A3-869D-3EC7BA80E64B}"/>
    <cellStyle name="Note 2 2 3 5 2 3" xfId="12924" xr:uid="{3D1AEB09-C82D-4DA2-A5D0-1045F1E91CF3}"/>
    <cellStyle name="Note 2 2 3 5 3" xfId="6558" xr:uid="{00000000-0005-0000-0000-0000D3200000}"/>
    <cellStyle name="Note 2 2 3 5 3 2" xfId="14997" xr:uid="{C3ECFFE9-C6FF-4312-A2D4-5303B06E1DD5}"/>
    <cellStyle name="Note 2 2 3 5 4" xfId="10779" xr:uid="{250E1A7B-40A6-4B43-A941-FD55C1440A8B}"/>
    <cellStyle name="Note 2 2 3 6" xfId="2687" xr:uid="{00000000-0005-0000-0000-0000D4200000}"/>
    <cellStyle name="Note 2 2 3 6 2" xfId="6971" xr:uid="{00000000-0005-0000-0000-0000D5200000}"/>
    <cellStyle name="Note 2 2 3 6 2 2" xfId="15410" xr:uid="{32DC2967-613F-433C-B55F-AF006C5C4437}"/>
    <cellStyle name="Note 2 2 3 6 3" xfId="11192" xr:uid="{C7E10B5F-EBF4-4C2E-82C8-B0AF71E52E1F}"/>
    <cellStyle name="Note 2 2 3 7" xfId="2746" xr:uid="{00000000-0005-0000-0000-0000D6200000}"/>
    <cellStyle name="Note 2 2 3 8" xfId="2827" xr:uid="{00000000-0005-0000-0000-0000D7200000}"/>
    <cellStyle name="Note 2 2 3 8 2" xfId="7051" xr:uid="{00000000-0005-0000-0000-0000D8200000}"/>
    <cellStyle name="Note 2 2 3 8 2 2" xfId="15490" xr:uid="{CBA13D2E-F7FD-4C6D-AAF6-E45C34953859}"/>
    <cellStyle name="Note 2 2 3 8 3" xfId="11272" xr:uid="{B995A947-CC8B-48E6-A163-6FCA8BE3AB8C}"/>
    <cellStyle name="Note 2 2 3 9" xfId="4906" xr:uid="{00000000-0005-0000-0000-0000D9200000}"/>
    <cellStyle name="Note 2 2 3 9 2" xfId="13345" xr:uid="{8E65215D-1AA4-4698-A10A-35434EC34635}"/>
    <cellStyle name="Note 2 2 4" xfId="1006" xr:uid="{00000000-0005-0000-0000-0000DA200000}"/>
    <cellStyle name="Note 2 2 4 2" xfId="3238" xr:uid="{00000000-0005-0000-0000-0000DB200000}"/>
    <cellStyle name="Note 2 2 4 2 2" xfId="7461" xr:uid="{00000000-0005-0000-0000-0000DC200000}"/>
    <cellStyle name="Note 2 2 4 2 2 2" xfId="15900" xr:uid="{EF91EC81-D0CF-4FCD-A09A-18F0563C6C98}"/>
    <cellStyle name="Note 2 2 4 2 3" xfId="11682" xr:uid="{C4E73046-D6C6-4358-A536-1E992E997C3C}"/>
    <cellStyle name="Note 2 2 4 3" xfId="5316" xr:uid="{00000000-0005-0000-0000-0000DD200000}"/>
    <cellStyle name="Note 2 2 4 3 2" xfId="13755" xr:uid="{8D5D1850-871A-4B81-A107-8B11EEAB01DC}"/>
    <cellStyle name="Note 2 2 4 4" xfId="9537" xr:uid="{BD187D70-DFD6-4EC5-8AC7-E0A3E6AB819B}"/>
    <cellStyle name="Note 2 2 5" xfId="1421" xr:uid="{00000000-0005-0000-0000-0000DE200000}"/>
    <cellStyle name="Note 2 2 5 2" xfId="3651" xr:uid="{00000000-0005-0000-0000-0000DF200000}"/>
    <cellStyle name="Note 2 2 5 2 2" xfId="7874" xr:uid="{00000000-0005-0000-0000-0000E0200000}"/>
    <cellStyle name="Note 2 2 5 2 2 2" xfId="16313" xr:uid="{2952B438-D3F9-42B0-9B06-8C25C509F83D}"/>
    <cellStyle name="Note 2 2 5 2 3" xfId="12095" xr:uid="{B82A758B-49A1-4FAF-B888-289E6AA4C44B}"/>
    <cellStyle name="Note 2 2 5 3" xfId="5729" xr:uid="{00000000-0005-0000-0000-0000E1200000}"/>
    <cellStyle name="Note 2 2 5 3 2" xfId="14168" xr:uid="{B043C762-634C-4A50-9F06-E8F8662335FD}"/>
    <cellStyle name="Note 2 2 5 4" xfId="9950" xr:uid="{08662571-A72E-4B62-95D9-E19673DE5151}"/>
    <cellStyle name="Note 2 2 6" xfId="1835" xr:uid="{00000000-0005-0000-0000-0000E2200000}"/>
    <cellStyle name="Note 2 2 6 2" xfId="4064" xr:uid="{00000000-0005-0000-0000-0000E3200000}"/>
    <cellStyle name="Note 2 2 6 2 2" xfId="8287" xr:uid="{00000000-0005-0000-0000-0000E4200000}"/>
    <cellStyle name="Note 2 2 6 2 2 2" xfId="16726" xr:uid="{8775C031-A35F-45E8-A7D8-07EE50410B40}"/>
    <cellStyle name="Note 2 2 6 2 3" xfId="12508" xr:uid="{8CA8B6A1-009F-4EDA-82DC-536A6B9FDE7D}"/>
    <cellStyle name="Note 2 2 6 3" xfId="6142" xr:uid="{00000000-0005-0000-0000-0000E5200000}"/>
    <cellStyle name="Note 2 2 6 3 2" xfId="14581" xr:uid="{4838BC40-CB7E-494D-8B46-B3016C2A672E}"/>
    <cellStyle name="Note 2 2 6 4" xfId="10363" xr:uid="{783746AA-940F-400B-8FD2-4B1466B5E7F6}"/>
    <cellStyle name="Note 2 2 7" xfId="2248" xr:uid="{00000000-0005-0000-0000-0000E6200000}"/>
    <cellStyle name="Note 2 2 7 2" xfId="4477" xr:uid="{00000000-0005-0000-0000-0000E7200000}"/>
    <cellStyle name="Note 2 2 7 2 2" xfId="8700" xr:uid="{00000000-0005-0000-0000-0000E8200000}"/>
    <cellStyle name="Note 2 2 7 2 2 2" xfId="17139" xr:uid="{F8418DDE-EF16-4EF2-A20D-114B249C47DC}"/>
    <cellStyle name="Note 2 2 7 2 3" xfId="12921" xr:uid="{70CCC6F5-7612-4B42-B5BF-7FF7BABCD4CD}"/>
    <cellStyle name="Note 2 2 7 3" xfId="6555" xr:uid="{00000000-0005-0000-0000-0000E9200000}"/>
    <cellStyle name="Note 2 2 7 3 2" xfId="14994" xr:uid="{1F17E1A9-2305-411D-B871-E5946DDF7B87}"/>
    <cellStyle name="Note 2 2 7 4" xfId="10776" xr:uid="{DD7F6EF2-02BE-47DD-A453-73B7586A8A2F}"/>
    <cellStyle name="Note 2 2 8" xfId="2684" xr:uid="{00000000-0005-0000-0000-0000EA200000}"/>
    <cellStyle name="Note 2 2 8 2" xfId="6968" xr:uid="{00000000-0005-0000-0000-0000EB200000}"/>
    <cellStyle name="Note 2 2 8 2 2" xfId="15407" xr:uid="{267C7FB6-F6E2-4248-9D81-F110B912F48E}"/>
    <cellStyle name="Note 2 2 8 3" xfId="11189" xr:uid="{8555AF1F-45B0-4932-AAD0-7E73044C64B4}"/>
    <cellStyle name="Note 2 2 9" xfId="2743" xr:uid="{00000000-0005-0000-0000-0000EC200000}"/>
    <cellStyle name="Note 2 3" xfId="549" xr:uid="{00000000-0005-0000-0000-0000ED200000}"/>
    <cellStyle name="Note 2 3 10" xfId="4907" xr:uid="{00000000-0005-0000-0000-0000EE200000}"/>
    <cellStyle name="Note 2 3 10 2" xfId="13346" xr:uid="{30777722-D83F-4240-A62E-206AE46834CC}"/>
    <cellStyle name="Note 2 3 11" xfId="9128" xr:uid="{B73A4090-7FB7-42D8-9316-3BBAE2FB916C}"/>
    <cellStyle name="Note 2 3 2" xfId="550" xr:uid="{00000000-0005-0000-0000-0000EF200000}"/>
    <cellStyle name="Note 2 3 2 10" xfId="9129" xr:uid="{A6A361C4-93F0-46FE-8BC9-ACA3A718B949}"/>
    <cellStyle name="Note 2 3 2 2" xfId="1011" xr:uid="{00000000-0005-0000-0000-0000F0200000}"/>
    <cellStyle name="Note 2 3 2 2 2" xfId="3243" xr:uid="{00000000-0005-0000-0000-0000F1200000}"/>
    <cellStyle name="Note 2 3 2 2 2 2" xfId="7466" xr:uid="{00000000-0005-0000-0000-0000F2200000}"/>
    <cellStyle name="Note 2 3 2 2 2 2 2" xfId="15905" xr:uid="{22AB2DDB-7D94-446B-A87F-7817F7C9552B}"/>
    <cellStyle name="Note 2 3 2 2 2 3" xfId="11687" xr:uid="{2A963DB6-F83B-4BD1-B28A-D8ABC4A80E97}"/>
    <cellStyle name="Note 2 3 2 2 3" xfId="5321" xr:uid="{00000000-0005-0000-0000-0000F3200000}"/>
    <cellStyle name="Note 2 3 2 2 3 2" xfId="13760" xr:uid="{ADE9F7EA-146F-4D11-BCD2-15F1F3887F2C}"/>
    <cellStyle name="Note 2 3 2 2 4" xfId="9542" xr:uid="{CE10B2EB-7207-4DF1-99DB-502510E39BE7}"/>
    <cellStyle name="Note 2 3 2 3" xfId="1426" xr:uid="{00000000-0005-0000-0000-0000F4200000}"/>
    <cellStyle name="Note 2 3 2 3 2" xfId="3656" xr:uid="{00000000-0005-0000-0000-0000F5200000}"/>
    <cellStyle name="Note 2 3 2 3 2 2" xfId="7879" xr:uid="{00000000-0005-0000-0000-0000F6200000}"/>
    <cellStyle name="Note 2 3 2 3 2 2 2" xfId="16318" xr:uid="{672DFE24-33D7-4D86-A5EA-5898F5946C76}"/>
    <cellStyle name="Note 2 3 2 3 2 3" xfId="12100" xr:uid="{8B05B7B9-95C6-456E-B589-0CAF01F22417}"/>
    <cellStyle name="Note 2 3 2 3 3" xfId="5734" xr:uid="{00000000-0005-0000-0000-0000F7200000}"/>
    <cellStyle name="Note 2 3 2 3 3 2" xfId="14173" xr:uid="{66CA8ECF-5FD6-4F1E-BA2A-6459FF35FCE9}"/>
    <cellStyle name="Note 2 3 2 3 4" xfId="9955" xr:uid="{C7F17FDE-4679-49AA-8550-724101173FEA}"/>
    <cellStyle name="Note 2 3 2 4" xfId="1840" xr:uid="{00000000-0005-0000-0000-0000F8200000}"/>
    <cellStyle name="Note 2 3 2 4 2" xfId="4069" xr:uid="{00000000-0005-0000-0000-0000F9200000}"/>
    <cellStyle name="Note 2 3 2 4 2 2" xfId="8292" xr:uid="{00000000-0005-0000-0000-0000FA200000}"/>
    <cellStyle name="Note 2 3 2 4 2 2 2" xfId="16731" xr:uid="{967BCB6B-8095-403E-BAB3-8DD333A64C90}"/>
    <cellStyle name="Note 2 3 2 4 2 3" xfId="12513" xr:uid="{19279374-CC66-440D-B414-DCE015B53460}"/>
    <cellStyle name="Note 2 3 2 4 3" xfId="6147" xr:uid="{00000000-0005-0000-0000-0000FB200000}"/>
    <cellStyle name="Note 2 3 2 4 3 2" xfId="14586" xr:uid="{424FCA76-223E-4246-A51A-239C608DAD61}"/>
    <cellStyle name="Note 2 3 2 4 4" xfId="10368" xr:uid="{A74FECEB-0A33-4B76-A79E-E78D9758698A}"/>
    <cellStyle name="Note 2 3 2 5" xfId="2253" xr:uid="{00000000-0005-0000-0000-0000FC200000}"/>
    <cellStyle name="Note 2 3 2 5 2" xfId="4482" xr:uid="{00000000-0005-0000-0000-0000FD200000}"/>
    <cellStyle name="Note 2 3 2 5 2 2" xfId="8705" xr:uid="{00000000-0005-0000-0000-0000FE200000}"/>
    <cellStyle name="Note 2 3 2 5 2 2 2" xfId="17144" xr:uid="{FBF3DAC3-82C7-4528-A64E-215F3EE0564B}"/>
    <cellStyle name="Note 2 3 2 5 2 3" xfId="12926" xr:uid="{209E1A04-F367-4A7E-ACF5-FAD1A8D0A26A}"/>
    <cellStyle name="Note 2 3 2 5 3" xfId="6560" xr:uid="{00000000-0005-0000-0000-0000FF200000}"/>
    <cellStyle name="Note 2 3 2 5 3 2" xfId="14999" xr:uid="{A686ECAB-51B3-485D-B82D-B54515CAB23C}"/>
    <cellStyle name="Note 2 3 2 5 4" xfId="10781" xr:uid="{2BC90766-F381-4C92-B861-98C29A8D9E03}"/>
    <cellStyle name="Note 2 3 2 6" xfId="2689" xr:uid="{00000000-0005-0000-0000-000000210000}"/>
    <cellStyle name="Note 2 3 2 6 2" xfId="6973" xr:uid="{00000000-0005-0000-0000-000001210000}"/>
    <cellStyle name="Note 2 3 2 6 2 2" xfId="15412" xr:uid="{4BD0033D-A656-42FA-AACD-41F5ED4AC32F}"/>
    <cellStyle name="Note 2 3 2 6 3" xfId="11194" xr:uid="{37EB8371-F409-4793-AA77-32A81C4CEAA4}"/>
    <cellStyle name="Note 2 3 2 7" xfId="2748" xr:uid="{00000000-0005-0000-0000-000002210000}"/>
    <cellStyle name="Note 2 3 2 8" xfId="2829" xr:uid="{00000000-0005-0000-0000-000003210000}"/>
    <cellStyle name="Note 2 3 2 8 2" xfId="7053" xr:uid="{00000000-0005-0000-0000-000004210000}"/>
    <cellStyle name="Note 2 3 2 8 2 2" xfId="15492" xr:uid="{A78912A6-1F8F-4060-ACD4-B039711AFF97}"/>
    <cellStyle name="Note 2 3 2 8 3" xfId="11274" xr:uid="{35088CAF-D311-4ADB-8D57-F2AA92F8871B}"/>
    <cellStyle name="Note 2 3 2 9" xfId="4908" xr:uid="{00000000-0005-0000-0000-000005210000}"/>
    <cellStyle name="Note 2 3 2 9 2" xfId="13347" xr:uid="{FA8E4CF4-333A-4087-969B-2FFED379DD05}"/>
    <cellStyle name="Note 2 3 3" xfId="1010" xr:uid="{00000000-0005-0000-0000-000006210000}"/>
    <cellStyle name="Note 2 3 3 2" xfId="3242" xr:uid="{00000000-0005-0000-0000-000007210000}"/>
    <cellStyle name="Note 2 3 3 2 2" xfId="7465" xr:uid="{00000000-0005-0000-0000-000008210000}"/>
    <cellStyle name="Note 2 3 3 2 2 2" xfId="15904" xr:uid="{C234E5C6-793B-4FAB-9216-85E3128D424A}"/>
    <cellStyle name="Note 2 3 3 2 3" xfId="11686" xr:uid="{E224EBFF-29B8-4B15-86EE-B976B2AF97ED}"/>
    <cellStyle name="Note 2 3 3 3" xfId="5320" xr:uid="{00000000-0005-0000-0000-000009210000}"/>
    <cellStyle name="Note 2 3 3 3 2" xfId="13759" xr:uid="{C86E5BCC-6BA5-4539-9F2F-0DC9433DBEF6}"/>
    <cellStyle name="Note 2 3 3 4" xfId="9541" xr:uid="{E7686DF0-8D78-4362-8218-CD12D78333DF}"/>
    <cellStyle name="Note 2 3 4" xfId="1425" xr:uid="{00000000-0005-0000-0000-00000A210000}"/>
    <cellStyle name="Note 2 3 4 2" xfId="3655" xr:uid="{00000000-0005-0000-0000-00000B210000}"/>
    <cellStyle name="Note 2 3 4 2 2" xfId="7878" xr:uid="{00000000-0005-0000-0000-00000C210000}"/>
    <cellStyle name="Note 2 3 4 2 2 2" xfId="16317" xr:uid="{548C4603-3E8A-4C94-8A21-C2D61F9E2F67}"/>
    <cellStyle name="Note 2 3 4 2 3" xfId="12099" xr:uid="{0AEC3E67-B059-4492-9367-E5A7460571E4}"/>
    <cellStyle name="Note 2 3 4 3" xfId="5733" xr:uid="{00000000-0005-0000-0000-00000D210000}"/>
    <cellStyle name="Note 2 3 4 3 2" xfId="14172" xr:uid="{1AE365F8-92B6-4189-8B45-84C1774B4AB6}"/>
    <cellStyle name="Note 2 3 4 4" xfId="9954" xr:uid="{6902C06E-38E9-47C3-8522-C789F999C711}"/>
    <cellStyle name="Note 2 3 5" xfId="1839" xr:uid="{00000000-0005-0000-0000-00000E210000}"/>
    <cellStyle name="Note 2 3 5 2" xfId="4068" xr:uid="{00000000-0005-0000-0000-00000F210000}"/>
    <cellStyle name="Note 2 3 5 2 2" xfId="8291" xr:uid="{00000000-0005-0000-0000-000010210000}"/>
    <cellStyle name="Note 2 3 5 2 2 2" xfId="16730" xr:uid="{E80B1ED3-2880-43C5-8493-3CE031FF1FFF}"/>
    <cellStyle name="Note 2 3 5 2 3" xfId="12512" xr:uid="{FF3F4C8F-D11D-4826-822C-ECB18ACBA5A4}"/>
    <cellStyle name="Note 2 3 5 3" xfId="6146" xr:uid="{00000000-0005-0000-0000-000011210000}"/>
    <cellStyle name="Note 2 3 5 3 2" xfId="14585" xr:uid="{AB70FBE5-9717-41A9-938E-CA444233A5A9}"/>
    <cellStyle name="Note 2 3 5 4" xfId="10367" xr:uid="{99C2E4F7-7BCC-44F2-A7F8-E8752F843B7B}"/>
    <cellStyle name="Note 2 3 6" xfId="2252" xr:uid="{00000000-0005-0000-0000-000012210000}"/>
    <cellStyle name="Note 2 3 6 2" xfId="4481" xr:uid="{00000000-0005-0000-0000-000013210000}"/>
    <cellStyle name="Note 2 3 6 2 2" xfId="8704" xr:uid="{00000000-0005-0000-0000-000014210000}"/>
    <cellStyle name="Note 2 3 6 2 2 2" xfId="17143" xr:uid="{F6DB2D38-96E2-4672-9013-61E06BE01952}"/>
    <cellStyle name="Note 2 3 6 2 3" xfId="12925" xr:uid="{3761DDF8-A1B1-48DE-A3D2-F67F277D1DE6}"/>
    <cellStyle name="Note 2 3 6 3" xfId="6559" xr:uid="{00000000-0005-0000-0000-000015210000}"/>
    <cellStyle name="Note 2 3 6 3 2" xfId="14998" xr:uid="{2EF5AED1-8BB4-477A-BA4B-6506DE5CDCF4}"/>
    <cellStyle name="Note 2 3 6 4" xfId="10780" xr:uid="{71444ACC-AB59-416A-9293-C8548DEC9F4D}"/>
    <cellStyle name="Note 2 3 7" xfId="2688" xr:uid="{00000000-0005-0000-0000-000016210000}"/>
    <cellStyle name="Note 2 3 7 2" xfId="6972" xr:uid="{00000000-0005-0000-0000-000017210000}"/>
    <cellStyle name="Note 2 3 7 2 2" xfId="15411" xr:uid="{B67B3FCC-A90E-45DB-8F1C-788A3E463281}"/>
    <cellStyle name="Note 2 3 7 3" xfId="11193" xr:uid="{6EDCBFDE-8C17-4A7B-81A3-32CAFDD52982}"/>
    <cellStyle name="Note 2 3 8" xfId="2747" xr:uid="{00000000-0005-0000-0000-000018210000}"/>
    <cellStyle name="Note 2 3 9" xfId="2828" xr:uid="{00000000-0005-0000-0000-000019210000}"/>
    <cellStyle name="Note 2 3 9 2" xfId="7052" xr:uid="{00000000-0005-0000-0000-00001A210000}"/>
    <cellStyle name="Note 2 3 9 2 2" xfId="15491" xr:uid="{8CE51C9F-236F-4CC4-8D67-35776E0D63A8}"/>
    <cellStyle name="Note 2 3 9 3" xfId="11273" xr:uid="{29940055-000B-48A0-B7AE-9FD16D491599}"/>
    <cellStyle name="Note 2 4" xfId="551" xr:uid="{00000000-0005-0000-0000-00001B210000}"/>
    <cellStyle name="Note 2 4 10" xfId="9130" xr:uid="{EE5D68D9-E9C0-480B-909C-7F12CECD8810}"/>
    <cellStyle name="Note 2 4 2" xfId="1012" xr:uid="{00000000-0005-0000-0000-00001C210000}"/>
    <cellStyle name="Note 2 4 2 2" xfId="3244" xr:uid="{00000000-0005-0000-0000-00001D210000}"/>
    <cellStyle name="Note 2 4 2 2 2" xfId="7467" xr:uid="{00000000-0005-0000-0000-00001E210000}"/>
    <cellStyle name="Note 2 4 2 2 2 2" xfId="15906" xr:uid="{2870DF9C-CD6E-4690-96B4-B3677EF4DEAC}"/>
    <cellStyle name="Note 2 4 2 2 3" xfId="11688" xr:uid="{8D7D2902-61A2-482E-9D58-6A1100F11347}"/>
    <cellStyle name="Note 2 4 2 3" xfId="5322" xr:uid="{00000000-0005-0000-0000-00001F210000}"/>
    <cellStyle name="Note 2 4 2 3 2" xfId="13761" xr:uid="{D3D8152A-576C-4A80-AB3D-BE42C4E60548}"/>
    <cellStyle name="Note 2 4 2 4" xfId="9543" xr:uid="{65C72D93-3CCD-40AE-AB55-8D69F3655F7D}"/>
    <cellStyle name="Note 2 4 3" xfId="1427" xr:uid="{00000000-0005-0000-0000-000020210000}"/>
    <cellStyle name="Note 2 4 3 2" xfId="3657" xr:uid="{00000000-0005-0000-0000-000021210000}"/>
    <cellStyle name="Note 2 4 3 2 2" xfId="7880" xr:uid="{00000000-0005-0000-0000-000022210000}"/>
    <cellStyle name="Note 2 4 3 2 2 2" xfId="16319" xr:uid="{91848365-904C-4FD3-AFDC-3C15D61595F4}"/>
    <cellStyle name="Note 2 4 3 2 3" xfId="12101" xr:uid="{1B3D423F-8A28-47E0-AB0E-B7E4A07BDC56}"/>
    <cellStyle name="Note 2 4 3 3" xfId="5735" xr:uid="{00000000-0005-0000-0000-000023210000}"/>
    <cellStyle name="Note 2 4 3 3 2" xfId="14174" xr:uid="{AD01C374-2803-45E4-85D3-FB4D40A04FC6}"/>
    <cellStyle name="Note 2 4 3 4" xfId="9956" xr:uid="{47095BA7-8A11-4AF0-BB44-D947465BE603}"/>
    <cellStyle name="Note 2 4 4" xfId="1841" xr:uid="{00000000-0005-0000-0000-000024210000}"/>
    <cellStyle name="Note 2 4 4 2" xfId="4070" xr:uid="{00000000-0005-0000-0000-000025210000}"/>
    <cellStyle name="Note 2 4 4 2 2" xfId="8293" xr:uid="{00000000-0005-0000-0000-000026210000}"/>
    <cellStyle name="Note 2 4 4 2 2 2" xfId="16732" xr:uid="{B15B738E-B1E9-4038-9C50-4AFBDC7B25B4}"/>
    <cellStyle name="Note 2 4 4 2 3" xfId="12514" xr:uid="{C8958815-AAE0-4C26-9AE1-DD1530577292}"/>
    <cellStyle name="Note 2 4 4 3" xfId="6148" xr:uid="{00000000-0005-0000-0000-000027210000}"/>
    <cellStyle name="Note 2 4 4 3 2" xfId="14587" xr:uid="{7B7F949A-BCE0-44BB-8726-A628890EF6E2}"/>
    <cellStyle name="Note 2 4 4 4" xfId="10369" xr:uid="{B5E51E88-BF8D-490D-B6C7-529D72D50671}"/>
    <cellStyle name="Note 2 4 5" xfId="2254" xr:uid="{00000000-0005-0000-0000-000028210000}"/>
    <cellStyle name="Note 2 4 5 2" xfId="4483" xr:uid="{00000000-0005-0000-0000-000029210000}"/>
    <cellStyle name="Note 2 4 5 2 2" xfId="8706" xr:uid="{00000000-0005-0000-0000-00002A210000}"/>
    <cellStyle name="Note 2 4 5 2 2 2" xfId="17145" xr:uid="{5D35567A-9294-4408-BB38-B3370775C12D}"/>
    <cellStyle name="Note 2 4 5 2 3" xfId="12927" xr:uid="{C8239AD2-3576-4FBC-BAE1-3BC9EBFF18C2}"/>
    <cellStyle name="Note 2 4 5 3" xfId="6561" xr:uid="{00000000-0005-0000-0000-00002B210000}"/>
    <cellStyle name="Note 2 4 5 3 2" xfId="15000" xr:uid="{3AD07FD6-2928-48B6-866D-7AB7454BF7C4}"/>
    <cellStyle name="Note 2 4 5 4" xfId="10782" xr:uid="{169A97FD-DFCE-4775-B6F2-3D9F5FE9CACD}"/>
    <cellStyle name="Note 2 4 6" xfId="2690" xr:uid="{00000000-0005-0000-0000-00002C210000}"/>
    <cellStyle name="Note 2 4 6 2" xfId="6974" xr:uid="{00000000-0005-0000-0000-00002D210000}"/>
    <cellStyle name="Note 2 4 6 2 2" xfId="15413" xr:uid="{03AD87DB-3F43-4BA7-BFDA-D9047525BBA5}"/>
    <cellStyle name="Note 2 4 6 3" xfId="11195" xr:uid="{A470EBD5-A302-4548-A778-743587D55B3B}"/>
    <cellStyle name="Note 2 4 7" xfId="2749" xr:uid="{00000000-0005-0000-0000-00002E210000}"/>
    <cellStyle name="Note 2 4 8" xfId="2830" xr:uid="{00000000-0005-0000-0000-00002F210000}"/>
    <cellStyle name="Note 2 4 8 2" xfId="7054" xr:uid="{00000000-0005-0000-0000-000030210000}"/>
    <cellStyle name="Note 2 4 8 2 2" xfId="15493" xr:uid="{BC58B2EC-A045-44DE-A80E-5864C4DF9872}"/>
    <cellStyle name="Note 2 4 8 3" xfId="11275" xr:uid="{98650401-6AD5-4957-8B41-BCF7FF65CF8C}"/>
    <cellStyle name="Note 2 4 9" xfId="4909" xr:uid="{00000000-0005-0000-0000-000031210000}"/>
    <cellStyle name="Note 2 4 9 2" xfId="13348" xr:uid="{C5E1C70A-0F4C-4977-910B-9CBB390461E7}"/>
    <cellStyle name="Note 2 5" xfId="552" xr:uid="{00000000-0005-0000-0000-000032210000}"/>
    <cellStyle name="Note 2 5 10" xfId="9131" xr:uid="{4FAA3A88-186A-430F-BA6E-ACD25C558F45}"/>
    <cellStyle name="Note 2 5 2" xfId="1013" xr:uid="{00000000-0005-0000-0000-000033210000}"/>
    <cellStyle name="Note 2 5 2 2" xfId="3245" xr:uid="{00000000-0005-0000-0000-000034210000}"/>
    <cellStyle name="Note 2 5 2 2 2" xfId="7468" xr:uid="{00000000-0005-0000-0000-000035210000}"/>
    <cellStyle name="Note 2 5 2 2 2 2" xfId="15907" xr:uid="{896234B7-892B-4262-B744-473998B97091}"/>
    <cellStyle name="Note 2 5 2 2 3" xfId="11689" xr:uid="{5A98C214-1EB1-4734-931A-5832103E9301}"/>
    <cellStyle name="Note 2 5 2 3" xfId="5323" xr:uid="{00000000-0005-0000-0000-000036210000}"/>
    <cellStyle name="Note 2 5 2 3 2" xfId="13762" xr:uid="{ED74B0EE-E6E2-426C-B533-1061B3964696}"/>
    <cellStyle name="Note 2 5 2 4" xfId="9544" xr:uid="{E590971E-D833-4215-BEEA-11336E7A2FAA}"/>
    <cellStyle name="Note 2 5 3" xfId="1428" xr:uid="{00000000-0005-0000-0000-000037210000}"/>
    <cellStyle name="Note 2 5 3 2" xfId="3658" xr:uid="{00000000-0005-0000-0000-000038210000}"/>
    <cellStyle name="Note 2 5 3 2 2" xfId="7881" xr:uid="{00000000-0005-0000-0000-000039210000}"/>
    <cellStyle name="Note 2 5 3 2 2 2" xfId="16320" xr:uid="{2DC5950E-764E-4C47-88D1-B979100448CA}"/>
    <cellStyle name="Note 2 5 3 2 3" xfId="12102" xr:uid="{05C06700-002A-45B9-A33F-BB34E1F18FD4}"/>
    <cellStyle name="Note 2 5 3 3" xfId="5736" xr:uid="{00000000-0005-0000-0000-00003A210000}"/>
    <cellStyle name="Note 2 5 3 3 2" xfId="14175" xr:uid="{81090D88-8054-4E78-B685-17B66DE578E4}"/>
    <cellStyle name="Note 2 5 3 4" xfId="9957" xr:uid="{B144D423-C778-40E3-837B-DAF069FB350B}"/>
    <cellStyle name="Note 2 5 4" xfId="1842" xr:uid="{00000000-0005-0000-0000-00003B210000}"/>
    <cellStyle name="Note 2 5 4 2" xfId="4071" xr:uid="{00000000-0005-0000-0000-00003C210000}"/>
    <cellStyle name="Note 2 5 4 2 2" xfId="8294" xr:uid="{00000000-0005-0000-0000-00003D210000}"/>
    <cellStyle name="Note 2 5 4 2 2 2" xfId="16733" xr:uid="{8FA78781-6A7E-4132-8127-CBFE872031C8}"/>
    <cellStyle name="Note 2 5 4 2 3" xfId="12515" xr:uid="{FD11F643-59BC-4936-AB0A-084C49162C78}"/>
    <cellStyle name="Note 2 5 4 3" xfId="6149" xr:uid="{00000000-0005-0000-0000-00003E210000}"/>
    <cellStyle name="Note 2 5 4 3 2" xfId="14588" xr:uid="{A6C4673E-D1B5-47DD-BA71-388595A8962D}"/>
    <cellStyle name="Note 2 5 4 4" xfId="10370" xr:uid="{4D715C4A-C175-4DA6-9D3E-3B1C9469DA3A}"/>
    <cellStyle name="Note 2 5 5" xfId="2255" xr:uid="{00000000-0005-0000-0000-00003F210000}"/>
    <cellStyle name="Note 2 5 5 2" xfId="4484" xr:uid="{00000000-0005-0000-0000-000040210000}"/>
    <cellStyle name="Note 2 5 5 2 2" xfId="8707" xr:uid="{00000000-0005-0000-0000-000041210000}"/>
    <cellStyle name="Note 2 5 5 2 2 2" xfId="17146" xr:uid="{FF5D0B42-23F6-441C-98AD-A619F1A8847B}"/>
    <cellStyle name="Note 2 5 5 2 3" xfId="12928" xr:uid="{DFD9F245-EB47-4DDC-9A6F-9E5D1265BA1D}"/>
    <cellStyle name="Note 2 5 5 3" xfId="6562" xr:uid="{00000000-0005-0000-0000-000042210000}"/>
    <cellStyle name="Note 2 5 5 3 2" xfId="15001" xr:uid="{11B7D6B7-64EF-4AE5-8D9C-A307A71744DB}"/>
    <cellStyle name="Note 2 5 5 4" xfId="10783" xr:uid="{66ABADCD-1F47-4172-A142-5FB5E4F6CC99}"/>
    <cellStyle name="Note 2 5 6" xfId="2691" xr:uid="{00000000-0005-0000-0000-000043210000}"/>
    <cellStyle name="Note 2 5 6 2" xfId="6975" xr:uid="{00000000-0005-0000-0000-000044210000}"/>
    <cellStyle name="Note 2 5 6 2 2" xfId="15414" xr:uid="{3316CDA8-B46F-4AD9-AE6F-BBA298EC59C3}"/>
    <cellStyle name="Note 2 5 6 3" xfId="11196" xr:uid="{5075CF5F-E113-4414-802F-173683E275BC}"/>
    <cellStyle name="Note 2 5 7" xfId="2750" xr:uid="{00000000-0005-0000-0000-000045210000}"/>
    <cellStyle name="Note 2 5 8" xfId="2831" xr:uid="{00000000-0005-0000-0000-000046210000}"/>
    <cellStyle name="Note 2 5 8 2" xfId="7055" xr:uid="{00000000-0005-0000-0000-000047210000}"/>
    <cellStyle name="Note 2 5 8 2 2" xfId="15494" xr:uid="{E6C29614-EFB0-4D3D-9323-E9FD8B3D1336}"/>
    <cellStyle name="Note 2 5 8 3" xfId="11276" xr:uid="{9165DD9C-0376-4B9A-889B-4FC1C1471F27}"/>
    <cellStyle name="Note 2 5 9" xfId="4910" xr:uid="{00000000-0005-0000-0000-000048210000}"/>
    <cellStyle name="Note 2 5 9 2" xfId="13349" xr:uid="{FF73F131-2BC8-410E-9F76-75972A5A8D1C}"/>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15495" xr:uid="{EAB79D80-174A-43A7-B9CA-D8AC49C49929}"/>
    <cellStyle name="Note 3 2 10 3" xfId="11277" xr:uid="{B51A9F1D-15E2-4E1D-912A-5B7342B83B7A}"/>
    <cellStyle name="Note 3 2 11" xfId="4911" xr:uid="{00000000-0005-0000-0000-00004D210000}"/>
    <cellStyle name="Note 3 2 11 2" xfId="13350" xr:uid="{1575E6A8-3078-4C40-B00E-1EBFF79791CC}"/>
    <cellStyle name="Note 3 2 12" xfId="9132" xr:uid="{778B6ECA-4ED6-47C2-887A-BC6669620054}"/>
    <cellStyle name="Note 3 2 2" xfId="555" xr:uid="{00000000-0005-0000-0000-00004E210000}"/>
    <cellStyle name="Note 3 2 2 10" xfId="4912" xr:uid="{00000000-0005-0000-0000-00004F210000}"/>
    <cellStyle name="Note 3 2 2 10 2" xfId="13351" xr:uid="{13965F0A-AF93-487B-9AB7-E914C02E43FD}"/>
    <cellStyle name="Note 3 2 2 11" xfId="9133" xr:uid="{D6632A39-059C-4F43-A28C-131BF4330C37}"/>
    <cellStyle name="Note 3 2 2 2" xfId="556" xr:uid="{00000000-0005-0000-0000-000050210000}"/>
    <cellStyle name="Note 3 2 2 2 10" xfId="9134" xr:uid="{E55EADD4-284B-4E3F-9E5E-C47B0F2C0F27}"/>
    <cellStyle name="Note 3 2 2 2 2" xfId="1016" xr:uid="{00000000-0005-0000-0000-000051210000}"/>
    <cellStyle name="Note 3 2 2 2 2 2" xfId="3248" xr:uid="{00000000-0005-0000-0000-000052210000}"/>
    <cellStyle name="Note 3 2 2 2 2 2 2" xfId="7471" xr:uid="{00000000-0005-0000-0000-000053210000}"/>
    <cellStyle name="Note 3 2 2 2 2 2 2 2" xfId="15910" xr:uid="{D0E1BBD4-8C1D-4A25-9F66-EAC236C86267}"/>
    <cellStyle name="Note 3 2 2 2 2 2 3" xfId="11692" xr:uid="{0C5B387B-0F8C-44E4-BCAB-371E490CA179}"/>
    <cellStyle name="Note 3 2 2 2 2 3" xfId="5326" xr:uid="{00000000-0005-0000-0000-000054210000}"/>
    <cellStyle name="Note 3 2 2 2 2 3 2" xfId="13765" xr:uid="{98BF7FD0-36C3-4953-B5A8-1FB73FCBD6C0}"/>
    <cellStyle name="Note 3 2 2 2 2 4" xfId="9547" xr:uid="{1F919107-8243-49AB-A674-838A292FC912}"/>
    <cellStyle name="Note 3 2 2 2 3" xfId="1431" xr:uid="{00000000-0005-0000-0000-000055210000}"/>
    <cellStyle name="Note 3 2 2 2 3 2" xfId="3661" xr:uid="{00000000-0005-0000-0000-000056210000}"/>
    <cellStyle name="Note 3 2 2 2 3 2 2" xfId="7884" xr:uid="{00000000-0005-0000-0000-000057210000}"/>
    <cellStyle name="Note 3 2 2 2 3 2 2 2" xfId="16323" xr:uid="{88705D0C-F002-4F6A-811F-DDE443773DFD}"/>
    <cellStyle name="Note 3 2 2 2 3 2 3" xfId="12105" xr:uid="{67995F3D-1878-49C0-9BA1-742F5E2A1151}"/>
    <cellStyle name="Note 3 2 2 2 3 3" xfId="5739" xr:uid="{00000000-0005-0000-0000-000058210000}"/>
    <cellStyle name="Note 3 2 2 2 3 3 2" xfId="14178" xr:uid="{78E7A728-483E-4371-8C8D-809A07AF49C9}"/>
    <cellStyle name="Note 3 2 2 2 3 4" xfId="9960" xr:uid="{0302314A-DBBF-47FE-AB37-2E99FB49F874}"/>
    <cellStyle name="Note 3 2 2 2 4" xfId="1845" xr:uid="{00000000-0005-0000-0000-000059210000}"/>
    <cellStyle name="Note 3 2 2 2 4 2" xfId="4074" xr:uid="{00000000-0005-0000-0000-00005A210000}"/>
    <cellStyle name="Note 3 2 2 2 4 2 2" xfId="8297" xr:uid="{00000000-0005-0000-0000-00005B210000}"/>
    <cellStyle name="Note 3 2 2 2 4 2 2 2" xfId="16736" xr:uid="{8D758661-F23C-47EF-A94D-46D70A3C81CE}"/>
    <cellStyle name="Note 3 2 2 2 4 2 3" xfId="12518" xr:uid="{2AD2EEE5-74F2-48F4-B5AE-5E6DEAD50208}"/>
    <cellStyle name="Note 3 2 2 2 4 3" xfId="6152" xr:uid="{00000000-0005-0000-0000-00005C210000}"/>
    <cellStyle name="Note 3 2 2 2 4 3 2" xfId="14591" xr:uid="{427A748D-3E0D-484A-80D2-8925DFC727BE}"/>
    <cellStyle name="Note 3 2 2 2 4 4" xfId="10373" xr:uid="{33730ACF-E600-4EFE-AD4D-21A7D29859C9}"/>
    <cellStyle name="Note 3 2 2 2 5" xfId="2258" xr:uid="{00000000-0005-0000-0000-00005D210000}"/>
    <cellStyle name="Note 3 2 2 2 5 2" xfId="4487" xr:uid="{00000000-0005-0000-0000-00005E210000}"/>
    <cellStyle name="Note 3 2 2 2 5 2 2" xfId="8710" xr:uid="{00000000-0005-0000-0000-00005F210000}"/>
    <cellStyle name="Note 3 2 2 2 5 2 2 2" xfId="17149" xr:uid="{4809B6DC-CD0E-4654-97B1-11CCA17ABCC8}"/>
    <cellStyle name="Note 3 2 2 2 5 2 3" xfId="12931" xr:uid="{D5097C15-5C7E-463D-9215-D99CE4E8AEEA}"/>
    <cellStyle name="Note 3 2 2 2 5 3" xfId="6565" xr:uid="{00000000-0005-0000-0000-000060210000}"/>
    <cellStyle name="Note 3 2 2 2 5 3 2" xfId="15004" xr:uid="{D2EF774D-8E7C-4D62-B8ED-AB90B9C647B5}"/>
    <cellStyle name="Note 3 2 2 2 5 4" xfId="10786" xr:uid="{8C8A794E-C411-4798-B8A4-3D9732739705}"/>
    <cellStyle name="Note 3 2 2 2 6" xfId="2694" xr:uid="{00000000-0005-0000-0000-000061210000}"/>
    <cellStyle name="Note 3 2 2 2 6 2" xfId="6978" xr:uid="{00000000-0005-0000-0000-000062210000}"/>
    <cellStyle name="Note 3 2 2 2 6 2 2" xfId="15417" xr:uid="{36DEE431-DE48-41FD-8A76-63C548ACC631}"/>
    <cellStyle name="Note 3 2 2 2 6 3" xfId="11199" xr:uid="{248BB5C0-F763-4D7D-9AFA-3165A445FB0A}"/>
    <cellStyle name="Note 3 2 2 2 7" xfId="2753" xr:uid="{00000000-0005-0000-0000-000063210000}"/>
    <cellStyle name="Note 3 2 2 2 8" xfId="2834" xr:uid="{00000000-0005-0000-0000-000064210000}"/>
    <cellStyle name="Note 3 2 2 2 8 2" xfId="7058" xr:uid="{00000000-0005-0000-0000-000065210000}"/>
    <cellStyle name="Note 3 2 2 2 8 2 2" xfId="15497" xr:uid="{FE8B0AF9-8A74-46BA-8D83-19AB1C17B035}"/>
    <cellStyle name="Note 3 2 2 2 8 3" xfId="11279" xr:uid="{FA10B3A0-861B-43DC-874F-05940FBD894B}"/>
    <cellStyle name="Note 3 2 2 2 9" xfId="4913" xr:uid="{00000000-0005-0000-0000-000066210000}"/>
    <cellStyle name="Note 3 2 2 2 9 2" xfId="13352" xr:uid="{042A8131-4A5A-4619-810B-B043802B4BDB}"/>
    <cellStyle name="Note 3 2 2 3" xfId="1015" xr:uid="{00000000-0005-0000-0000-000067210000}"/>
    <cellStyle name="Note 3 2 2 3 2" xfId="3247" xr:uid="{00000000-0005-0000-0000-000068210000}"/>
    <cellStyle name="Note 3 2 2 3 2 2" xfId="7470" xr:uid="{00000000-0005-0000-0000-000069210000}"/>
    <cellStyle name="Note 3 2 2 3 2 2 2" xfId="15909" xr:uid="{DEECA391-1BA2-4B1C-9710-3769B27C46B3}"/>
    <cellStyle name="Note 3 2 2 3 2 3" xfId="11691" xr:uid="{92754762-BA67-4354-88B7-59D0FAEABDAE}"/>
    <cellStyle name="Note 3 2 2 3 3" xfId="5325" xr:uid="{00000000-0005-0000-0000-00006A210000}"/>
    <cellStyle name="Note 3 2 2 3 3 2" xfId="13764" xr:uid="{6A39C6A9-95A5-4286-922C-E2B9370830E1}"/>
    <cellStyle name="Note 3 2 2 3 4" xfId="9546" xr:uid="{4A694C91-159B-43B0-9FC2-3E7180E20D7A}"/>
    <cellStyle name="Note 3 2 2 4" xfId="1430" xr:uid="{00000000-0005-0000-0000-00006B210000}"/>
    <cellStyle name="Note 3 2 2 4 2" xfId="3660" xr:uid="{00000000-0005-0000-0000-00006C210000}"/>
    <cellStyle name="Note 3 2 2 4 2 2" xfId="7883" xr:uid="{00000000-0005-0000-0000-00006D210000}"/>
    <cellStyle name="Note 3 2 2 4 2 2 2" xfId="16322" xr:uid="{7EFD7AA8-4CB1-4295-988A-25FBC7F95603}"/>
    <cellStyle name="Note 3 2 2 4 2 3" xfId="12104" xr:uid="{95272DA6-E454-4285-BD7E-7169731F2E62}"/>
    <cellStyle name="Note 3 2 2 4 3" xfId="5738" xr:uid="{00000000-0005-0000-0000-00006E210000}"/>
    <cellStyle name="Note 3 2 2 4 3 2" xfId="14177" xr:uid="{28C007AA-3C54-43C1-B2C3-58ACB508B99D}"/>
    <cellStyle name="Note 3 2 2 4 4" xfId="9959" xr:uid="{545A598C-784D-412D-A8CC-3E7D9A14BBD4}"/>
    <cellStyle name="Note 3 2 2 5" xfId="1844" xr:uid="{00000000-0005-0000-0000-00006F210000}"/>
    <cellStyle name="Note 3 2 2 5 2" xfId="4073" xr:uid="{00000000-0005-0000-0000-000070210000}"/>
    <cellStyle name="Note 3 2 2 5 2 2" xfId="8296" xr:uid="{00000000-0005-0000-0000-000071210000}"/>
    <cellStyle name="Note 3 2 2 5 2 2 2" xfId="16735" xr:uid="{5E2CC5E2-3892-477E-80F9-94E4A424CCE8}"/>
    <cellStyle name="Note 3 2 2 5 2 3" xfId="12517" xr:uid="{A409F79D-F7B3-4D63-9DB4-9D3E37A65EE8}"/>
    <cellStyle name="Note 3 2 2 5 3" xfId="6151" xr:uid="{00000000-0005-0000-0000-000072210000}"/>
    <cellStyle name="Note 3 2 2 5 3 2" xfId="14590" xr:uid="{CFDA97B6-CEE6-48AD-B04C-DF861E371DEE}"/>
    <cellStyle name="Note 3 2 2 5 4" xfId="10372" xr:uid="{944CAE1D-E4D0-42EB-BC2A-5599705A57D5}"/>
    <cellStyle name="Note 3 2 2 6" xfId="2257" xr:uid="{00000000-0005-0000-0000-000073210000}"/>
    <cellStyle name="Note 3 2 2 6 2" xfId="4486" xr:uid="{00000000-0005-0000-0000-000074210000}"/>
    <cellStyle name="Note 3 2 2 6 2 2" xfId="8709" xr:uid="{00000000-0005-0000-0000-000075210000}"/>
    <cellStyle name="Note 3 2 2 6 2 2 2" xfId="17148" xr:uid="{7DB15BCD-BF79-4310-B03F-27E5EEEA06EC}"/>
    <cellStyle name="Note 3 2 2 6 2 3" xfId="12930" xr:uid="{7B97F5C5-D9DC-421D-A3C9-2C873E23373E}"/>
    <cellStyle name="Note 3 2 2 6 3" xfId="6564" xr:uid="{00000000-0005-0000-0000-000076210000}"/>
    <cellStyle name="Note 3 2 2 6 3 2" xfId="15003" xr:uid="{77793BB0-A4A0-466A-AD22-FFEA7904DA76}"/>
    <cellStyle name="Note 3 2 2 6 4" xfId="10785" xr:uid="{F79E6D69-76F6-4C48-BF3E-F8B28215DA24}"/>
    <cellStyle name="Note 3 2 2 7" xfId="2693" xr:uid="{00000000-0005-0000-0000-000077210000}"/>
    <cellStyle name="Note 3 2 2 7 2" xfId="6977" xr:uid="{00000000-0005-0000-0000-000078210000}"/>
    <cellStyle name="Note 3 2 2 7 2 2" xfId="15416" xr:uid="{DEC8B949-DB4F-4CB7-B150-46321A2AEE33}"/>
    <cellStyle name="Note 3 2 2 7 3" xfId="11198" xr:uid="{4F6AA7F1-8600-45FC-B56A-6C77DC11E9B5}"/>
    <cellStyle name="Note 3 2 2 8" xfId="2752" xr:uid="{00000000-0005-0000-0000-000079210000}"/>
    <cellStyle name="Note 3 2 2 9" xfId="2833" xr:uid="{00000000-0005-0000-0000-00007A210000}"/>
    <cellStyle name="Note 3 2 2 9 2" xfId="7057" xr:uid="{00000000-0005-0000-0000-00007B210000}"/>
    <cellStyle name="Note 3 2 2 9 2 2" xfId="15496" xr:uid="{ECB9F537-7106-4746-93C9-A1EA5E7977C5}"/>
    <cellStyle name="Note 3 2 2 9 3" xfId="11278" xr:uid="{97AD833C-082E-45A9-A9E0-C68014E893AA}"/>
    <cellStyle name="Note 3 2 3" xfId="557" xr:uid="{00000000-0005-0000-0000-00007C210000}"/>
    <cellStyle name="Note 3 2 3 10" xfId="9135" xr:uid="{EDB2FEDD-6D19-4EB4-94E4-8DD93F4AF4A9}"/>
    <cellStyle name="Note 3 2 3 2" xfId="1017" xr:uid="{00000000-0005-0000-0000-00007D210000}"/>
    <cellStyle name="Note 3 2 3 2 2" xfId="3249" xr:uid="{00000000-0005-0000-0000-00007E210000}"/>
    <cellStyle name="Note 3 2 3 2 2 2" xfId="7472" xr:uid="{00000000-0005-0000-0000-00007F210000}"/>
    <cellStyle name="Note 3 2 3 2 2 2 2" xfId="15911" xr:uid="{AEA1A19B-5B56-4CA4-9B68-5E8E42C92ADA}"/>
    <cellStyle name="Note 3 2 3 2 2 3" xfId="11693" xr:uid="{653B802D-E398-4D91-9E68-DD882CE60E1D}"/>
    <cellStyle name="Note 3 2 3 2 3" xfId="5327" xr:uid="{00000000-0005-0000-0000-000080210000}"/>
    <cellStyle name="Note 3 2 3 2 3 2" xfId="13766" xr:uid="{5FBCECFB-0001-4984-A220-E29783807164}"/>
    <cellStyle name="Note 3 2 3 2 4" xfId="9548" xr:uid="{F56C4422-DEAE-4BE3-91D1-7B922A197122}"/>
    <cellStyle name="Note 3 2 3 3" xfId="1432" xr:uid="{00000000-0005-0000-0000-000081210000}"/>
    <cellStyle name="Note 3 2 3 3 2" xfId="3662" xr:uid="{00000000-0005-0000-0000-000082210000}"/>
    <cellStyle name="Note 3 2 3 3 2 2" xfId="7885" xr:uid="{00000000-0005-0000-0000-000083210000}"/>
    <cellStyle name="Note 3 2 3 3 2 2 2" xfId="16324" xr:uid="{9C2E8ACF-1576-488E-A414-F9B9D0C7FF87}"/>
    <cellStyle name="Note 3 2 3 3 2 3" xfId="12106" xr:uid="{50197374-D848-422F-B0FF-989190254FE0}"/>
    <cellStyle name="Note 3 2 3 3 3" xfId="5740" xr:uid="{00000000-0005-0000-0000-000084210000}"/>
    <cellStyle name="Note 3 2 3 3 3 2" xfId="14179" xr:uid="{21CAAD6D-031D-4951-974F-5EB8D555305A}"/>
    <cellStyle name="Note 3 2 3 3 4" xfId="9961" xr:uid="{3CB75467-7D0C-463C-8E61-B57EF840291B}"/>
    <cellStyle name="Note 3 2 3 4" xfId="1846" xr:uid="{00000000-0005-0000-0000-000085210000}"/>
    <cellStyle name="Note 3 2 3 4 2" xfId="4075" xr:uid="{00000000-0005-0000-0000-000086210000}"/>
    <cellStyle name="Note 3 2 3 4 2 2" xfId="8298" xr:uid="{00000000-0005-0000-0000-000087210000}"/>
    <cellStyle name="Note 3 2 3 4 2 2 2" xfId="16737" xr:uid="{699C367B-C981-4685-B8B4-8AA61E1A0388}"/>
    <cellStyle name="Note 3 2 3 4 2 3" xfId="12519" xr:uid="{8819ECF2-49DE-40C9-A256-4F1612A4F023}"/>
    <cellStyle name="Note 3 2 3 4 3" xfId="6153" xr:uid="{00000000-0005-0000-0000-000088210000}"/>
    <cellStyle name="Note 3 2 3 4 3 2" xfId="14592" xr:uid="{CC7EC2FB-5B9D-43B5-83B4-DFBE70DAC9BB}"/>
    <cellStyle name="Note 3 2 3 4 4" xfId="10374" xr:uid="{F2CA8951-E59D-4387-902F-71E6574E7F96}"/>
    <cellStyle name="Note 3 2 3 5" xfId="2259" xr:uid="{00000000-0005-0000-0000-000089210000}"/>
    <cellStyle name="Note 3 2 3 5 2" xfId="4488" xr:uid="{00000000-0005-0000-0000-00008A210000}"/>
    <cellStyle name="Note 3 2 3 5 2 2" xfId="8711" xr:uid="{00000000-0005-0000-0000-00008B210000}"/>
    <cellStyle name="Note 3 2 3 5 2 2 2" xfId="17150" xr:uid="{C350F3E7-25CB-4046-AC74-178121DA8195}"/>
    <cellStyle name="Note 3 2 3 5 2 3" xfId="12932" xr:uid="{625BF97A-DEA6-41A7-9F5C-40E543600E73}"/>
    <cellStyle name="Note 3 2 3 5 3" xfId="6566" xr:uid="{00000000-0005-0000-0000-00008C210000}"/>
    <cellStyle name="Note 3 2 3 5 3 2" xfId="15005" xr:uid="{B8AAC107-AB57-4292-91A5-6D974356C0D4}"/>
    <cellStyle name="Note 3 2 3 5 4" xfId="10787" xr:uid="{48D20934-EBC3-41BD-BC45-11A34C4074D5}"/>
    <cellStyle name="Note 3 2 3 6" xfId="2695" xr:uid="{00000000-0005-0000-0000-00008D210000}"/>
    <cellStyle name="Note 3 2 3 6 2" xfId="6979" xr:uid="{00000000-0005-0000-0000-00008E210000}"/>
    <cellStyle name="Note 3 2 3 6 2 2" xfId="15418" xr:uid="{7EF14B48-2CA7-4ACD-B06B-786CF6C2A656}"/>
    <cellStyle name="Note 3 2 3 6 3" xfId="11200" xr:uid="{15B281DF-DF69-401F-9815-7A0AEB02298F}"/>
    <cellStyle name="Note 3 2 3 7" xfId="2754" xr:uid="{00000000-0005-0000-0000-00008F210000}"/>
    <cellStyle name="Note 3 2 3 8" xfId="2835" xr:uid="{00000000-0005-0000-0000-000090210000}"/>
    <cellStyle name="Note 3 2 3 8 2" xfId="7059" xr:uid="{00000000-0005-0000-0000-000091210000}"/>
    <cellStyle name="Note 3 2 3 8 2 2" xfId="15498" xr:uid="{87CBCC54-E954-4596-8E1B-381D07B28731}"/>
    <cellStyle name="Note 3 2 3 8 3" xfId="11280" xr:uid="{F32E2BC4-0336-489A-8FC0-5F742C7FB22C}"/>
    <cellStyle name="Note 3 2 3 9" xfId="4914" xr:uid="{00000000-0005-0000-0000-000092210000}"/>
    <cellStyle name="Note 3 2 3 9 2" xfId="13353" xr:uid="{45FCE7C7-1805-4597-8901-31BB11795695}"/>
    <cellStyle name="Note 3 2 4" xfId="1014" xr:uid="{00000000-0005-0000-0000-000093210000}"/>
    <cellStyle name="Note 3 2 4 2" xfId="3246" xr:uid="{00000000-0005-0000-0000-000094210000}"/>
    <cellStyle name="Note 3 2 4 2 2" xfId="7469" xr:uid="{00000000-0005-0000-0000-000095210000}"/>
    <cellStyle name="Note 3 2 4 2 2 2" xfId="15908" xr:uid="{E49C9715-71E1-4BF4-A1DD-B22CAD59A618}"/>
    <cellStyle name="Note 3 2 4 2 3" xfId="11690" xr:uid="{B13B2956-86CA-486E-AA5C-A2CFF6F002B9}"/>
    <cellStyle name="Note 3 2 4 3" xfId="5324" xr:uid="{00000000-0005-0000-0000-000096210000}"/>
    <cellStyle name="Note 3 2 4 3 2" xfId="13763" xr:uid="{3FECC1C2-62A9-4156-9D60-3B3A4A0B93D2}"/>
    <cellStyle name="Note 3 2 4 4" xfId="9545" xr:uid="{22A65D52-6C07-4BF8-BCC1-CC9A7E9A6933}"/>
    <cellStyle name="Note 3 2 5" xfId="1429" xr:uid="{00000000-0005-0000-0000-000097210000}"/>
    <cellStyle name="Note 3 2 5 2" xfId="3659" xr:uid="{00000000-0005-0000-0000-000098210000}"/>
    <cellStyle name="Note 3 2 5 2 2" xfId="7882" xr:uid="{00000000-0005-0000-0000-000099210000}"/>
    <cellStyle name="Note 3 2 5 2 2 2" xfId="16321" xr:uid="{8C830A30-2E19-42F0-9DCF-5898E725C853}"/>
    <cellStyle name="Note 3 2 5 2 3" xfId="12103" xr:uid="{C59C991A-AD11-4228-B6E4-DD09D0F4A8A9}"/>
    <cellStyle name="Note 3 2 5 3" xfId="5737" xr:uid="{00000000-0005-0000-0000-00009A210000}"/>
    <cellStyle name="Note 3 2 5 3 2" xfId="14176" xr:uid="{1109113E-B874-460E-83FA-65C3C77794E0}"/>
    <cellStyle name="Note 3 2 5 4" xfId="9958" xr:uid="{1324F907-A705-4532-A088-D8CEA472542B}"/>
    <cellStyle name="Note 3 2 6" xfId="1843" xr:uid="{00000000-0005-0000-0000-00009B210000}"/>
    <cellStyle name="Note 3 2 6 2" xfId="4072" xr:uid="{00000000-0005-0000-0000-00009C210000}"/>
    <cellStyle name="Note 3 2 6 2 2" xfId="8295" xr:uid="{00000000-0005-0000-0000-00009D210000}"/>
    <cellStyle name="Note 3 2 6 2 2 2" xfId="16734" xr:uid="{23A640F5-088C-4758-802B-D9899ADAD433}"/>
    <cellStyle name="Note 3 2 6 2 3" xfId="12516" xr:uid="{EB1F9E3A-2501-4B8A-8005-C2886DD7F7F8}"/>
    <cellStyle name="Note 3 2 6 3" xfId="6150" xr:uid="{00000000-0005-0000-0000-00009E210000}"/>
    <cellStyle name="Note 3 2 6 3 2" xfId="14589" xr:uid="{5381110F-4B01-4E24-92AD-886B07FD6514}"/>
    <cellStyle name="Note 3 2 6 4" xfId="10371" xr:uid="{CA407129-27F9-4855-9900-979016CC7FCC}"/>
    <cellStyle name="Note 3 2 7" xfId="2256" xr:uid="{00000000-0005-0000-0000-00009F210000}"/>
    <cellStyle name="Note 3 2 7 2" xfId="4485" xr:uid="{00000000-0005-0000-0000-0000A0210000}"/>
    <cellStyle name="Note 3 2 7 2 2" xfId="8708" xr:uid="{00000000-0005-0000-0000-0000A1210000}"/>
    <cellStyle name="Note 3 2 7 2 2 2" xfId="17147" xr:uid="{F080ADC1-5B89-4FE4-B8BB-42E207D011E0}"/>
    <cellStyle name="Note 3 2 7 2 3" xfId="12929" xr:uid="{25F09310-61D8-4B01-84B9-4AEED192C59D}"/>
    <cellStyle name="Note 3 2 7 3" xfId="6563" xr:uid="{00000000-0005-0000-0000-0000A2210000}"/>
    <cellStyle name="Note 3 2 7 3 2" xfId="15002" xr:uid="{F8B5DB64-3CCB-4C81-884C-49ECF3831C12}"/>
    <cellStyle name="Note 3 2 7 4" xfId="10784" xr:uid="{DAD87CB6-837D-4A4C-ABB1-63D581B723CB}"/>
    <cellStyle name="Note 3 2 8" xfId="2692" xr:uid="{00000000-0005-0000-0000-0000A3210000}"/>
    <cellStyle name="Note 3 2 8 2" xfId="6976" xr:uid="{00000000-0005-0000-0000-0000A4210000}"/>
    <cellStyle name="Note 3 2 8 2 2" xfId="15415" xr:uid="{9D4B670B-3617-4F9B-9DB5-41DE501C03F6}"/>
    <cellStyle name="Note 3 2 8 3" xfId="11197" xr:uid="{6982FC0E-3121-4D1E-827F-EB1E79A91039}"/>
    <cellStyle name="Note 3 2 9" xfId="2751" xr:uid="{00000000-0005-0000-0000-0000A5210000}"/>
    <cellStyle name="Note 3 3" xfId="558" xr:uid="{00000000-0005-0000-0000-0000A6210000}"/>
    <cellStyle name="Note 3 3 10" xfId="4915" xr:uid="{00000000-0005-0000-0000-0000A7210000}"/>
    <cellStyle name="Note 3 3 10 2" xfId="13354" xr:uid="{8FA68034-B1CA-4160-BBD2-5549F563164A}"/>
    <cellStyle name="Note 3 3 11" xfId="9136" xr:uid="{792C4B8D-DC21-40B9-9B4F-F5E060595F5F}"/>
    <cellStyle name="Note 3 3 2" xfId="559" xr:uid="{00000000-0005-0000-0000-0000A8210000}"/>
    <cellStyle name="Note 3 3 2 10" xfId="9137" xr:uid="{967EA7C8-63AA-4014-8130-2D0AF74DF332}"/>
    <cellStyle name="Note 3 3 2 2" xfId="1019" xr:uid="{00000000-0005-0000-0000-0000A9210000}"/>
    <cellStyle name="Note 3 3 2 2 2" xfId="3251" xr:uid="{00000000-0005-0000-0000-0000AA210000}"/>
    <cellStyle name="Note 3 3 2 2 2 2" xfId="7474" xr:uid="{00000000-0005-0000-0000-0000AB210000}"/>
    <cellStyle name="Note 3 3 2 2 2 2 2" xfId="15913" xr:uid="{41CECCA0-DFD0-429B-9CC1-BCCFA23011EE}"/>
    <cellStyle name="Note 3 3 2 2 2 3" xfId="11695" xr:uid="{BBE683AD-C6F3-4820-AD72-EC229A928B85}"/>
    <cellStyle name="Note 3 3 2 2 3" xfId="5329" xr:uid="{00000000-0005-0000-0000-0000AC210000}"/>
    <cellStyle name="Note 3 3 2 2 3 2" xfId="13768" xr:uid="{40BCC945-71FF-4DF9-BEE7-DFA4961BE309}"/>
    <cellStyle name="Note 3 3 2 2 4" xfId="9550" xr:uid="{235D294C-23FB-48D9-AD97-495FE7845A5E}"/>
    <cellStyle name="Note 3 3 2 3" xfId="1434" xr:uid="{00000000-0005-0000-0000-0000AD210000}"/>
    <cellStyle name="Note 3 3 2 3 2" xfId="3664" xr:uid="{00000000-0005-0000-0000-0000AE210000}"/>
    <cellStyle name="Note 3 3 2 3 2 2" xfId="7887" xr:uid="{00000000-0005-0000-0000-0000AF210000}"/>
    <cellStyle name="Note 3 3 2 3 2 2 2" xfId="16326" xr:uid="{CA555D80-4EAA-46F7-BF85-AEB3CE128650}"/>
    <cellStyle name="Note 3 3 2 3 2 3" xfId="12108" xr:uid="{B753F126-9037-420E-B313-FBB6ED0343E9}"/>
    <cellStyle name="Note 3 3 2 3 3" xfId="5742" xr:uid="{00000000-0005-0000-0000-0000B0210000}"/>
    <cellStyle name="Note 3 3 2 3 3 2" xfId="14181" xr:uid="{B611D600-4E16-4C46-B34C-D55482629A81}"/>
    <cellStyle name="Note 3 3 2 3 4" xfId="9963" xr:uid="{351FDDC4-5538-4F60-B39F-55D97B806EFA}"/>
    <cellStyle name="Note 3 3 2 4" xfId="1848" xr:uid="{00000000-0005-0000-0000-0000B1210000}"/>
    <cellStyle name="Note 3 3 2 4 2" xfId="4077" xr:uid="{00000000-0005-0000-0000-0000B2210000}"/>
    <cellStyle name="Note 3 3 2 4 2 2" xfId="8300" xr:uid="{00000000-0005-0000-0000-0000B3210000}"/>
    <cellStyle name="Note 3 3 2 4 2 2 2" xfId="16739" xr:uid="{7744A20D-6D2C-462D-8133-4F257DDDC32B}"/>
    <cellStyle name="Note 3 3 2 4 2 3" xfId="12521" xr:uid="{CC43E72A-361D-4B16-9EDD-DB3A5506224F}"/>
    <cellStyle name="Note 3 3 2 4 3" xfId="6155" xr:uid="{00000000-0005-0000-0000-0000B4210000}"/>
    <cellStyle name="Note 3 3 2 4 3 2" xfId="14594" xr:uid="{C8C6ADA7-7A7D-4A52-8275-6DD7E13116AB}"/>
    <cellStyle name="Note 3 3 2 4 4" xfId="10376" xr:uid="{E63AF487-7E41-490E-B098-4352A96D6DDC}"/>
    <cellStyle name="Note 3 3 2 5" xfId="2261" xr:uid="{00000000-0005-0000-0000-0000B5210000}"/>
    <cellStyle name="Note 3 3 2 5 2" xfId="4490" xr:uid="{00000000-0005-0000-0000-0000B6210000}"/>
    <cellStyle name="Note 3 3 2 5 2 2" xfId="8713" xr:uid="{00000000-0005-0000-0000-0000B7210000}"/>
    <cellStyle name="Note 3 3 2 5 2 2 2" xfId="17152" xr:uid="{BD055CD0-561C-42C9-B3F3-B8EE41FA5EC6}"/>
    <cellStyle name="Note 3 3 2 5 2 3" xfId="12934" xr:uid="{C1959915-0FCB-4C0B-A9F1-403CEF4EC471}"/>
    <cellStyle name="Note 3 3 2 5 3" xfId="6568" xr:uid="{00000000-0005-0000-0000-0000B8210000}"/>
    <cellStyle name="Note 3 3 2 5 3 2" xfId="15007" xr:uid="{3B1353AD-1B8C-4520-A6F2-E06E8B898284}"/>
    <cellStyle name="Note 3 3 2 5 4" xfId="10789" xr:uid="{3F8535BC-E7D9-47EC-9D20-664A65DF8DE6}"/>
    <cellStyle name="Note 3 3 2 6" xfId="2697" xr:uid="{00000000-0005-0000-0000-0000B9210000}"/>
    <cellStyle name="Note 3 3 2 6 2" xfId="6981" xr:uid="{00000000-0005-0000-0000-0000BA210000}"/>
    <cellStyle name="Note 3 3 2 6 2 2" xfId="15420" xr:uid="{7FFBCA3D-6D82-446E-AAE4-08FEA503D87A}"/>
    <cellStyle name="Note 3 3 2 6 3" xfId="11202" xr:uid="{FBB97B8B-82B7-48E1-9494-C546AB86CE96}"/>
    <cellStyle name="Note 3 3 2 7" xfId="2756" xr:uid="{00000000-0005-0000-0000-0000BB210000}"/>
    <cellStyle name="Note 3 3 2 8" xfId="2837" xr:uid="{00000000-0005-0000-0000-0000BC210000}"/>
    <cellStyle name="Note 3 3 2 8 2" xfId="7061" xr:uid="{00000000-0005-0000-0000-0000BD210000}"/>
    <cellStyle name="Note 3 3 2 8 2 2" xfId="15500" xr:uid="{6CBC7811-0981-4EB2-AAFA-C043B77B1A1A}"/>
    <cellStyle name="Note 3 3 2 8 3" xfId="11282" xr:uid="{5CC7F5E6-BBA5-4C4D-8606-DC91A2618D95}"/>
    <cellStyle name="Note 3 3 2 9" xfId="4916" xr:uid="{00000000-0005-0000-0000-0000BE210000}"/>
    <cellStyle name="Note 3 3 2 9 2" xfId="13355" xr:uid="{ACE46516-6276-4623-8B93-2E36232B8441}"/>
    <cellStyle name="Note 3 3 3" xfId="1018" xr:uid="{00000000-0005-0000-0000-0000BF210000}"/>
    <cellStyle name="Note 3 3 3 2" xfId="3250" xr:uid="{00000000-0005-0000-0000-0000C0210000}"/>
    <cellStyle name="Note 3 3 3 2 2" xfId="7473" xr:uid="{00000000-0005-0000-0000-0000C1210000}"/>
    <cellStyle name="Note 3 3 3 2 2 2" xfId="15912" xr:uid="{BAAC08A6-A564-48C5-9E2B-02863DF13A8B}"/>
    <cellStyle name="Note 3 3 3 2 3" xfId="11694" xr:uid="{AFC6B5DE-4FB4-4204-A106-0B15D4EB8ECC}"/>
    <cellStyle name="Note 3 3 3 3" xfId="5328" xr:uid="{00000000-0005-0000-0000-0000C2210000}"/>
    <cellStyle name="Note 3 3 3 3 2" xfId="13767" xr:uid="{4A65CD58-665C-4A0C-A784-934D8D967DE0}"/>
    <cellStyle name="Note 3 3 3 4" xfId="9549" xr:uid="{618E02B5-1F7A-4B84-83F3-7C943E7607E9}"/>
    <cellStyle name="Note 3 3 4" xfId="1433" xr:uid="{00000000-0005-0000-0000-0000C3210000}"/>
    <cellStyle name="Note 3 3 4 2" xfId="3663" xr:uid="{00000000-0005-0000-0000-0000C4210000}"/>
    <cellStyle name="Note 3 3 4 2 2" xfId="7886" xr:uid="{00000000-0005-0000-0000-0000C5210000}"/>
    <cellStyle name="Note 3 3 4 2 2 2" xfId="16325" xr:uid="{9082E28A-FE99-4389-9480-78854BDA910E}"/>
    <cellStyle name="Note 3 3 4 2 3" xfId="12107" xr:uid="{95416EB8-B347-4F20-B912-15D316AEB9AD}"/>
    <cellStyle name="Note 3 3 4 3" xfId="5741" xr:uid="{00000000-0005-0000-0000-0000C6210000}"/>
    <cellStyle name="Note 3 3 4 3 2" xfId="14180" xr:uid="{C90A43CC-1793-4E7F-BFCC-D91A46ED86FF}"/>
    <cellStyle name="Note 3 3 4 4" xfId="9962" xr:uid="{F9E9F955-FD68-4425-81F6-A13487A3E193}"/>
    <cellStyle name="Note 3 3 5" xfId="1847" xr:uid="{00000000-0005-0000-0000-0000C7210000}"/>
    <cellStyle name="Note 3 3 5 2" xfId="4076" xr:uid="{00000000-0005-0000-0000-0000C8210000}"/>
    <cellStyle name="Note 3 3 5 2 2" xfId="8299" xr:uid="{00000000-0005-0000-0000-0000C9210000}"/>
    <cellStyle name="Note 3 3 5 2 2 2" xfId="16738" xr:uid="{E7A74074-EFAB-4AAB-91FF-3267FC196619}"/>
    <cellStyle name="Note 3 3 5 2 3" xfId="12520" xr:uid="{4CCDFB81-C8B0-4B81-B1AF-66C36FB2032C}"/>
    <cellStyle name="Note 3 3 5 3" xfId="6154" xr:uid="{00000000-0005-0000-0000-0000CA210000}"/>
    <cellStyle name="Note 3 3 5 3 2" xfId="14593" xr:uid="{6E76634E-F0EF-4788-B17E-2060B7EF8B90}"/>
    <cellStyle name="Note 3 3 5 4" xfId="10375" xr:uid="{B0844697-F202-4966-A63C-C27FC0563E58}"/>
    <cellStyle name="Note 3 3 6" xfId="2260" xr:uid="{00000000-0005-0000-0000-0000CB210000}"/>
    <cellStyle name="Note 3 3 6 2" xfId="4489" xr:uid="{00000000-0005-0000-0000-0000CC210000}"/>
    <cellStyle name="Note 3 3 6 2 2" xfId="8712" xr:uid="{00000000-0005-0000-0000-0000CD210000}"/>
    <cellStyle name="Note 3 3 6 2 2 2" xfId="17151" xr:uid="{316B6A85-8ACA-4B6F-BEA0-9B0AADC43804}"/>
    <cellStyle name="Note 3 3 6 2 3" xfId="12933" xr:uid="{F6FC1EF0-6AB9-4D2B-91B0-782C2DA0B3CC}"/>
    <cellStyle name="Note 3 3 6 3" xfId="6567" xr:uid="{00000000-0005-0000-0000-0000CE210000}"/>
    <cellStyle name="Note 3 3 6 3 2" xfId="15006" xr:uid="{F03A5AD3-DF00-446B-B09F-F9FF0CD0E46A}"/>
    <cellStyle name="Note 3 3 6 4" xfId="10788" xr:uid="{6338B441-DC18-4E0D-B1AC-5C47B05F0ED3}"/>
    <cellStyle name="Note 3 3 7" xfId="2696" xr:uid="{00000000-0005-0000-0000-0000CF210000}"/>
    <cellStyle name="Note 3 3 7 2" xfId="6980" xr:uid="{00000000-0005-0000-0000-0000D0210000}"/>
    <cellStyle name="Note 3 3 7 2 2" xfId="15419" xr:uid="{9012AC13-F8F8-4729-B6DE-6FD87126ADA8}"/>
    <cellStyle name="Note 3 3 7 3" xfId="11201" xr:uid="{8CBE00D4-3216-4320-807D-5D9DD57230A6}"/>
    <cellStyle name="Note 3 3 8" xfId="2755" xr:uid="{00000000-0005-0000-0000-0000D1210000}"/>
    <cellStyle name="Note 3 3 9" xfId="2836" xr:uid="{00000000-0005-0000-0000-0000D2210000}"/>
    <cellStyle name="Note 3 3 9 2" xfId="7060" xr:uid="{00000000-0005-0000-0000-0000D3210000}"/>
    <cellStyle name="Note 3 3 9 2 2" xfId="15499" xr:uid="{DFFE86E1-594B-427E-87EA-B7D3AAB1E7F0}"/>
    <cellStyle name="Note 3 3 9 3" xfId="11281" xr:uid="{E790C47D-9AFA-4D04-91A3-28AA6C495957}"/>
    <cellStyle name="Note 3 4" xfId="560" xr:uid="{00000000-0005-0000-0000-0000D4210000}"/>
    <cellStyle name="Note 3 4 10" xfId="9138" xr:uid="{E56E376F-884F-4EBC-821D-5166C4872F99}"/>
    <cellStyle name="Note 3 4 2" xfId="1020" xr:uid="{00000000-0005-0000-0000-0000D5210000}"/>
    <cellStyle name="Note 3 4 2 2" xfId="3252" xr:uid="{00000000-0005-0000-0000-0000D6210000}"/>
    <cellStyle name="Note 3 4 2 2 2" xfId="7475" xr:uid="{00000000-0005-0000-0000-0000D7210000}"/>
    <cellStyle name="Note 3 4 2 2 2 2" xfId="15914" xr:uid="{C6C2172C-50AA-4B01-8D1B-75BCA8F2356E}"/>
    <cellStyle name="Note 3 4 2 2 3" xfId="11696" xr:uid="{1C9C646A-E2FA-428B-9A8E-9C418B733BEA}"/>
    <cellStyle name="Note 3 4 2 3" xfId="5330" xr:uid="{00000000-0005-0000-0000-0000D8210000}"/>
    <cellStyle name="Note 3 4 2 3 2" xfId="13769" xr:uid="{A1BA4CF0-4FD1-4F45-B77A-D96F52DB3B89}"/>
    <cellStyle name="Note 3 4 2 4" xfId="9551" xr:uid="{598F4F17-428A-4C75-9E0D-85C342F15128}"/>
    <cellStyle name="Note 3 4 3" xfId="1435" xr:uid="{00000000-0005-0000-0000-0000D9210000}"/>
    <cellStyle name="Note 3 4 3 2" xfId="3665" xr:uid="{00000000-0005-0000-0000-0000DA210000}"/>
    <cellStyle name="Note 3 4 3 2 2" xfId="7888" xr:uid="{00000000-0005-0000-0000-0000DB210000}"/>
    <cellStyle name="Note 3 4 3 2 2 2" xfId="16327" xr:uid="{A6C84B6E-800B-44C8-A0B0-F77FA00E28C1}"/>
    <cellStyle name="Note 3 4 3 2 3" xfId="12109" xr:uid="{293ACA1A-96BD-41A5-A774-057E459B18A7}"/>
    <cellStyle name="Note 3 4 3 3" xfId="5743" xr:uid="{00000000-0005-0000-0000-0000DC210000}"/>
    <cellStyle name="Note 3 4 3 3 2" xfId="14182" xr:uid="{BF22A41B-B707-4189-B6F1-6EBDDFFA57AB}"/>
    <cellStyle name="Note 3 4 3 4" xfId="9964" xr:uid="{C68C3778-E222-4CF7-AE01-5070ED41AA97}"/>
    <cellStyle name="Note 3 4 4" xfId="1849" xr:uid="{00000000-0005-0000-0000-0000DD210000}"/>
    <cellStyle name="Note 3 4 4 2" xfId="4078" xr:uid="{00000000-0005-0000-0000-0000DE210000}"/>
    <cellStyle name="Note 3 4 4 2 2" xfId="8301" xr:uid="{00000000-0005-0000-0000-0000DF210000}"/>
    <cellStyle name="Note 3 4 4 2 2 2" xfId="16740" xr:uid="{489B9CA4-38C6-443E-AC4E-12623347AF74}"/>
    <cellStyle name="Note 3 4 4 2 3" xfId="12522" xr:uid="{FB14A9B5-7D09-4DAB-943D-C29352AFAC8B}"/>
    <cellStyle name="Note 3 4 4 3" xfId="6156" xr:uid="{00000000-0005-0000-0000-0000E0210000}"/>
    <cellStyle name="Note 3 4 4 3 2" xfId="14595" xr:uid="{F79DE7FB-A441-4BF6-936B-802E04842E8F}"/>
    <cellStyle name="Note 3 4 4 4" xfId="10377" xr:uid="{690643E2-36F2-4FA4-A4ED-9416BE29FBC6}"/>
    <cellStyle name="Note 3 4 5" xfId="2262" xr:uid="{00000000-0005-0000-0000-0000E1210000}"/>
    <cellStyle name="Note 3 4 5 2" xfId="4491" xr:uid="{00000000-0005-0000-0000-0000E2210000}"/>
    <cellStyle name="Note 3 4 5 2 2" xfId="8714" xr:uid="{00000000-0005-0000-0000-0000E3210000}"/>
    <cellStyle name="Note 3 4 5 2 2 2" xfId="17153" xr:uid="{4B95FDDC-AC5E-4FC8-B9BE-A0489214B4AF}"/>
    <cellStyle name="Note 3 4 5 2 3" xfId="12935" xr:uid="{A47A2425-4703-4BF8-B5DB-4507B2E6F281}"/>
    <cellStyle name="Note 3 4 5 3" xfId="6569" xr:uid="{00000000-0005-0000-0000-0000E4210000}"/>
    <cellStyle name="Note 3 4 5 3 2" xfId="15008" xr:uid="{001E83BC-0713-427D-A74D-F4E2A43CACDB}"/>
    <cellStyle name="Note 3 4 5 4" xfId="10790" xr:uid="{A89000C2-F3F4-4212-B8B9-C97ED656F814}"/>
    <cellStyle name="Note 3 4 6" xfId="2698" xr:uid="{00000000-0005-0000-0000-0000E5210000}"/>
    <cellStyle name="Note 3 4 6 2" xfId="6982" xr:uid="{00000000-0005-0000-0000-0000E6210000}"/>
    <cellStyle name="Note 3 4 6 2 2" xfId="15421" xr:uid="{7BCFD144-FD42-402F-80AA-5EB6998604A4}"/>
    <cellStyle name="Note 3 4 6 3" xfId="11203" xr:uid="{92ABED3C-5780-4A33-A498-7A8C5C150E88}"/>
    <cellStyle name="Note 3 4 7" xfId="2757" xr:uid="{00000000-0005-0000-0000-0000E7210000}"/>
    <cellStyle name="Note 3 4 8" xfId="2838" xr:uid="{00000000-0005-0000-0000-0000E8210000}"/>
    <cellStyle name="Note 3 4 8 2" xfId="7062" xr:uid="{00000000-0005-0000-0000-0000E9210000}"/>
    <cellStyle name="Note 3 4 8 2 2" xfId="15501" xr:uid="{F5270DC6-0665-4DFF-8CBE-5AAB2E1B06FC}"/>
    <cellStyle name="Note 3 4 8 3" xfId="11283" xr:uid="{E34FADCC-359B-4FCF-94DD-47C2667DFBBA}"/>
    <cellStyle name="Note 3 4 9" xfId="4917" xr:uid="{00000000-0005-0000-0000-0000EA210000}"/>
    <cellStyle name="Note 3 4 9 2" xfId="13356" xr:uid="{944A9002-EC33-4BCF-829B-79B7B7377338}"/>
    <cellStyle name="Note 3 5" xfId="561" xr:uid="{00000000-0005-0000-0000-0000EB210000}"/>
    <cellStyle name="Note 3 5 10" xfId="9139" xr:uid="{4524E362-5591-46C0-A171-79709D35DB41}"/>
    <cellStyle name="Note 3 5 2" xfId="1021" xr:uid="{00000000-0005-0000-0000-0000EC210000}"/>
    <cellStyle name="Note 3 5 2 2" xfId="3253" xr:uid="{00000000-0005-0000-0000-0000ED210000}"/>
    <cellStyle name="Note 3 5 2 2 2" xfId="7476" xr:uid="{00000000-0005-0000-0000-0000EE210000}"/>
    <cellStyle name="Note 3 5 2 2 2 2" xfId="15915" xr:uid="{62A1C830-DD80-48AB-B151-BB8DEE70C77A}"/>
    <cellStyle name="Note 3 5 2 2 3" xfId="11697" xr:uid="{08671688-D72A-4B87-A621-D8A6E231FEA9}"/>
    <cellStyle name="Note 3 5 2 3" xfId="5331" xr:uid="{00000000-0005-0000-0000-0000EF210000}"/>
    <cellStyle name="Note 3 5 2 3 2" xfId="13770" xr:uid="{2106E2D8-8B1C-4F48-8920-277F6E7E48F2}"/>
    <cellStyle name="Note 3 5 2 4" xfId="9552" xr:uid="{65DB7832-C254-43D2-AB46-C9DDB1D634CA}"/>
    <cellStyle name="Note 3 5 3" xfId="1436" xr:uid="{00000000-0005-0000-0000-0000F0210000}"/>
    <cellStyle name="Note 3 5 3 2" xfId="3666" xr:uid="{00000000-0005-0000-0000-0000F1210000}"/>
    <cellStyle name="Note 3 5 3 2 2" xfId="7889" xr:uid="{00000000-0005-0000-0000-0000F2210000}"/>
    <cellStyle name="Note 3 5 3 2 2 2" xfId="16328" xr:uid="{B48DA93F-40C4-4314-8142-DA29E46B52EB}"/>
    <cellStyle name="Note 3 5 3 2 3" xfId="12110" xr:uid="{6CAABC86-699D-41A9-82C7-5C008B074A09}"/>
    <cellStyle name="Note 3 5 3 3" xfId="5744" xr:uid="{00000000-0005-0000-0000-0000F3210000}"/>
    <cellStyle name="Note 3 5 3 3 2" xfId="14183" xr:uid="{99B2DA63-DD2F-4688-A5A8-529FDB0A1563}"/>
    <cellStyle name="Note 3 5 3 4" xfId="9965" xr:uid="{2E0067DA-1295-4E51-80C9-070F31A1F308}"/>
    <cellStyle name="Note 3 5 4" xfId="1850" xr:uid="{00000000-0005-0000-0000-0000F4210000}"/>
    <cellStyle name="Note 3 5 4 2" xfId="4079" xr:uid="{00000000-0005-0000-0000-0000F5210000}"/>
    <cellStyle name="Note 3 5 4 2 2" xfId="8302" xr:uid="{00000000-0005-0000-0000-0000F6210000}"/>
    <cellStyle name="Note 3 5 4 2 2 2" xfId="16741" xr:uid="{4A0A21CF-5B23-47CC-86B5-72A8AF4D2CAC}"/>
    <cellStyle name="Note 3 5 4 2 3" xfId="12523" xr:uid="{B2B5553E-665B-47AD-8BAC-FBD53095C3E9}"/>
    <cellStyle name="Note 3 5 4 3" xfId="6157" xr:uid="{00000000-0005-0000-0000-0000F7210000}"/>
    <cellStyle name="Note 3 5 4 3 2" xfId="14596" xr:uid="{22F3D41B-A735-4212-A01B-37BAF68E8D59}"/>
    <cellStyle name="Note 3 5 4 4" xfId="10378" xr:uid="{5F4881B8-2585-44CB-BB0B-3DAD4AD9C111}"/>
    <cellStyle name="Note 3 5 5" xfId="2263" xr:uid="{00000000-0005-0000-0000-0000F8210000}"/>
    <cellStyle name="Note 3 5 5 2" xfId="4492" xr:uid="{00000000-0005-0000-0000-0000F9210000}"/>
    <cellStyle name="Note 3 5 5 2 2" xfId="8715" xr:uid="{00000000-0005-0000-0000-0000FA210000}"/>
    <cellStyle name="Note 3 5 5 2 2 2" xfId="17154" xr:uid="{D88E4300-20A0-42B0-9E1C-FAB3B0629A92}"/>
    <cellStyle name="Note 3 5 5 2 3" xfId="12936" xr:uid="{B0622113-FA87-4F28-9AE1-9470A34B4A17}"/>
    <cellStyle name="Note 3 5 5 3" xfId="6570" xr:uid="{00000000-0005-0000-0000-0000FB210000}"/>
    <cellStyle name="Note 3 5 5 3 2" xfId="15009" xr:uid="{284140ED-ED72-47FA-B0C2-49DDEDAC503D}"/>
    <cellStyle name="Note 3 5 5 4" xfId="10791" xr:uid="{1F721A3A-9145-4336-B00E-8533B4F96291}"/>
    <cellStyle name="Note 3 5 6" xfId="2699" xr:uid="{00000000-0005-0000-0000-0000FC210000}"/>
    <cellStyle name="Note 3 5 6 2" xfId="6983" xr:uid="{00000000-0005-0000-0000-0000FD210000}"/>
    <cellStyle name="Note 3 5 6 2 2" xfId="15422" xr:uid="{6F903881-C585-4995-B06F-E51F34481931}"/>
    <cellStyle name="Note 3 5 6 3" xfId="11204" xr:uid="{773C9F18-BEC8-45EB-807A-1F72F83C2148}"/>
    <cellStyle name="Note 3 5 7" xfId="2758" xr:uid="{00000000-0005-0000-0000-0000FE210000}"/>
    <cellStyle name="Note 3 5 8" xfId="2839" xr:uid="{00000000-0005-0000-0000-0000FF210000}"/>
    <cellStyle name="Note 3 5 8 2" xfId="7063" xr:uid="{00000000-0005-0000-0000-000000220000}"/>
    <cellStyle name="Note 3 5 8 2 2" xfId="15502" xr:uid="{DB326055-2CEF-46B6-8090-97D580F3612A}"/>
    <cellStyle name="Note 3 5 8 3" xfId="11284" xr:uid="{6427592A-0B31-4451-9025-42301472E505}"/>
    <cellStyle name="Note 3 5 9" xfId="4918" xr:uid="{00000000-0005-0000-0000-000001220000}"/>
    <cellStyle name="Note 3 5 9 2" xfId="13357" xr:uid="{184BB7C7-ED00-4B96-BF0D-7B7BA72BC0DE}"/>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40" xr:uid="{4437B46A-8A84-4B4C-9883-7EDBE12CD879}"/>
    <cellStyle name="Percent 4" xfId="4502" xr:uid="{00000000-0005-0000-0000-000007220000}"/>
    <cellStyle name="Percent 4 2" xfId="8718" xr:uid="{00000000-0005-0000-0000-000008220000}"/>
    <cellStyle name="Percent 4 2 2" xfId="17157" xr:uid="{06D5629D-4304-4F0A-8007-ED1ABEE1509B}"/>
    <cellStyle name="Percent 4 3" xfId="8721" xr:uid="{D09CD3FC-D632-4B66-A68A-5CC92F993799}"/>
    <cellStyle name="Percent 4 3 2" xfId="8725" xr:uid="{D57AE941-8E59-43F0-AB73-09B3BCCFA234}"/>
    <cellStyle name="Percent 4 3 2 2" xfId="17163" xr:uid="{34A70A1D-A643-4334-B16D-A7737A592A94}"/>
    <cellStyle name="Percent 4 3 3" xfId="17160" xr:uid="{2338DEBE-D506-4708-AE36-3A33C45E18C2}"/>
    <cellStyle name="Percent 4 4" xfId="12943" xr:uid="{D4770F1F-A613-4054-9925-0A1AE506CF81}"/>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0" dataDxfId="10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8" dataCellStyle="Normal 15">
      <calculatedColumnFormula>IFERROR(MIN(4,MATCH(Application!B714,UnitSizes,0)-1),"")</calculatedColumnFormula>
    </tableColumn>
    <tableColumn id="3" xr3:uid="{3C170205-C158-4CBB-8CF5-9AF725351349}" name="Quantity" dataDxfId="107" dataCellStyle="Normal 15">
      <calculatedColumnFormula>Application!G714</calculatedColumnFormula>
    </tableColumn>
    <tableColumn id="6" xr3:uid="{7C05B4DE-3AC1-47F3-9C25-D16553367CFA}" name="iAMI" dataDxfId="106" dataCellStyle="Percent">
      <calculatedColumnFormula>Application!AC714</calculatedColumnFormula>
    </tableColumn>
    <tableColumn id="7" xr3:uid="{2B6706B4-1A54-4104-A649-2FE0A4FF8E92}" name="AMI" dataDxfId="105" dataCellStyle="Percent">
      <calculatedColumnFormula>IF(Cdlac[[#This Row],[Quantity]]&gt;0,IF(Cdlac[[#This Row],[Federal]],30%,IF($G$36,40%,Cdlac[[#This Row],[iAMI]])),"")</calculatedColumnFormula>
    </tableColumn>
    <tableColumn id="8" xr3:uid="{A8EB42BE-4789-45EE-A11C-67C20CB0D91B}" name="Restricted Rent" dataDxfId="104" dataCellStyle="Normal 15">
      <calculatedColumnFormula array="1">IF(Cdlac[[#This Row],[Quantity]]&gt;0,INDEX(TcacRents,$P$18,Cdlac[[#This Row],[Bedrooms]]+1)*Cdlac[[#This Row],[AMI]],"")</calculatedColumnFormula>
    </tableColumn>
    <tableColumn id="9" xr3:uid="{E7AC364D-B07B-4A38-B74E-DAE64921E290}" name="Fair Market Rent" dataDxfId="103" dataCellStyle="Normal 15">
      <calculatedColumnFormula array="1">IF(Cdlac[[#This Row],[Quantity]]&gt;0,INDEX(HudFmrs,$P$18,Cdlac[[#This Row],[Bedrooms]]+1),"")</calculatedColumnFormula>
    </tableColumn>
    <tableColumn id="10" xr3:uid="{630C504C-0251-4207-88FB-451973BE380A}" name="Delta" dataDxfId="102" dataCellStyle="Normal 15">
      <calculatedColumnFormula>IF(Cdlac[[#This Row],[Quantity]]&gt;0,MAX(0,Cdlac[[#This Row],[Fair Market Rent]]-Cdlac[[#This Row],[Restricted Rent]]),"")</calculatedColumnFormula>
    </tableColumn>
    <tableColumn id="11" xr3:uid="{9C619E83-105C-4EED-A831-1DAB5BB5AC88}" name="Population" dataDxfId="101" dataCellStyle="Normal 15">
      <calculatedColumnFormula>IF(Cdlac[[#This Row],[Quantity]]&gt;0,AND(Application!AK714&lt;&gt;"N/A",Application!AK714&lt;&gt;"")*Cdlac[[#This Row],[Quantity]],"")</calculatedColumnFormula>
    </tableColumn>
    <tableColumn id="4" xr3:uid="{5D52F6BE-992B-4621-8785-ED1E8B62A78F}"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9" dataDxfId="98" headerRowCellStyle="Normal 16 3" dataCellStyle="Normal 16 3">
  <autoFilter ref="BM8:BM13" xr:uid="{EC5E3245-E94C-4732-9264-A1FF7840F5A2}"/>
  <tableColumns count="1">
    <tableColumn id="1" xr3:uid="{65240E69-32D4-48CF-98F7-C12A61079F3B}"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71" t="s">
        <v>560</v>
      </c>
      <c r="B1" s="1271"/>
      <c r="C1" s="1271"/>
      <c r="D1" s="1271"/>
      <c r="E1" s="1271"/>
      <c r="F1" s="1271"/>
      <c r="G1" s="1271"/>
      <c r="H1" s="1271"/>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row>
    <row r="2" spans="1:38" ht="13.8" thickBot="1">
      <c r="A2" s="1272"/>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row>
    <row r="3" spans="1:38" ht="13.8"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61" t="s">
        <v>2429</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90"/>
    </row>
    <row r="8" spans="1:38">
      <c r="A8" s="218"/>
      <c r="B8" s="218"/>
      <c r="C8" s="219"/>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90"/>
    </row>
    <row r="9" spans="1:38">
      <c r="A9" s="218"/>
      <c r="B9" s="218"/>
      <c r="C9" s="219"/>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 customHeight="1">
      <c r="A11" s="218"/>
      <c r="B11" s="218"/>
      <c r="C11" s="219"/>
      <c r="D11" s="1261" t="s">
        <v>2430</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90"/>
    </row>
    <row r="12" spans="1:38">
      <c r="A12" s="218"/>
      <c r="B12" s="218"/>
      <c r="C12" s="219"/>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90"/>
    </row>
    <row r="13" spans="1:38">
      <c r="A13" s="218"/>
      <c r="B13" s="218"/>
      <c r="C13" s="219"/>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90"/>
    </row>
    <row r="14" spans="1:38" ht="13.2" customHeight="1">
      <c r="A14" s="218"/>
      <c r="B14" s="218"/>
      <c r="C14" s="219"/>
      <c r="E14" s="1261" t="s">
        <v>2619</v>
      </c>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490"/>
    </row>
    <row r="15" spans="1:38" ht="13.2" customHeight="1">
      <c r="A15" s="218"/>
      <c r="B15" s="218"/>
      <c r="C15" s="219"/>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90"/>
    </row>
    <row r="16" spans="1:38">
      <c r="A16" s="218"/>
      <c r="B16" s="218"/>
      <c r="C16" s="219"/>
      <c r="D16" s="490"/>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2" customHeight="1">
      <c r="A18" s="218"/>
      <c r="B18" s="218"/>
      <c r="C18" s="219"/>
      <c r="D18" s="1261" t="s">
        <v>2431</v>
      </c>
      <c r="E18" s="1261"/>
      <c r="F18" s="1261"/>
      <c r="G18" s="1261"/>
      <c r="H18" s="1261"/>
      <c r="I18" s="1261"/>
      <c r="J18" s="1261"/>
      <c r="K18" s="1261"/>
      <c r="L18" s="1261"/>
      <c r="M18" s="1261"/>
      <c r="N18" s="1261"/>
      <c r="O18" s="1261"/>
      <c r="P18" s="1261"/>
      <c r="Q18" s="1261"/>
      <c r="R18" s="1261"/>
      <c r="S18" s="1261"/>
      <c r="T18" s="1261"/>
      <c r="U18" s="1261"/>
      <c r="V18" s="1261"/>
      <c r="W18" s="1261"/>
      <c r="X18" s="1261"/>
      <c r="Y18" s="1261"/>
      <c r="Z18" s="1261"/>
      <c r="AA18" s="1261"/>
      <c r="AB18" s="1261"/>
      <c r="AC18" s="1261"/>
      <c r="AD18" s="1261"/>
      <c r="AE18" s="1261"/>
      <c r="AF18" s="1261"/>
      <c r="AG18" s="1261"/>
      <c r="AH18" s="1261"/>
      <c r="AI18" s="1261"/>
      <c r="AJ18" s="1261"/>
      <c r="AK18" s="1261"/>
      <c r="AL18" s="218"/>
    </row>
    <row r="19" spans="1:38">
      <c r="A19" s="218"/>
      <c r="B19" s="218"/>
      <c r="C19" s="219"/>
      <c r="D19" s="1261"/>
      <c r="E19" s="1261"/>
      <c r="F19" s="1261"/>
      <c r="G19" s="1261"/>
      <c r="H19" s="1261"/>
      <c r="I19" s="1261"/>
      <c r="J19" s="1261"/>
      <c r="K19" s="1261"/>
      <c r="L19" s="1261"/>
      <c r="M19" s="1261"/>
      <c r="N19" s="1261"/>
      <c r="O19" s="1261"/>
      <c r="P19" s="1261"/>
      <c r="Q19" s="1261"/>
      <c r="R19" s="1261"/>
      <c r="S19" s="1261"/>
      <c r="T19" s="1261"/>
      <c r="U19" s="1261"/>
      <c r="V19" s="1261"/>
      <c r="W19" s="1261"/>
      <c r="X19" s="1261"/>
      <c r="Y19" s="1261"/>
      <c r="Z19" s="1261"/>
      <c r="AA19" s="1261"/>
      <c r="AB19" s="1261"/>
      <c r="AC19" s="1261"/>
      <c r="AD19" s="1261"/>
      <c r="AE19" s="1261"/>
      <c r="AF19" s="1261"/>
      <c r="AG19" s="1261"/>
      <c r="AH19" s="1261"/>
      <c r="AI19" s="1261"/>
      <c r="AJ19" s="1261"/>
      <c r="AK19" s="1261"/>
      <c r="AL19" s="218"/>
    </row>
    <row r="20" spans="1:38">
      <c r="A20" s="218"/>
      <c r="B20" s="218"/>
      <c r="C20" s="219"/>
      <c r="D20" s="1261"/>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18"/>
    </row>
    <row r="21" spans="1:38" ht="13.2" customHeight="1">
      <c r="A21" s="218"/>
      <c r="B21" s="218"/>
      <c r="C21" s="219"/>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18"/>
    </row>
    <row r="22" spans="1:38">
      <c r="A22" s="218"/>
      <c r="B22" s="218"/>
      <c r="C22" s="219"/>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18"/>
    </row>
    <row r="23" spans="1:38">
      <c r="A23" s="218"/>
      <c r="B23" s="218"/>
      <c r="C23" s="219"/>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18"/>
    </row>
    <row r="24" spans="1:38">
      <c r="A24" s="218"/>
      <c r="B24" s="218"/>
      <c r="C24" s="219"/>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18"/>
    </row>
    <row r="25" spans="1:38">
      <c r="A25" s="218"/>
      <c r="B25" s="218"/>
      <c r="C25" s="219"/>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18"/>
    </row>
    <row r="26" spans="1:38">
      <c r="A26" s="218"/>
      <c r="B26" s="218"/>
      <c r="C26" s="219"/>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18"/>
    </row>
    <row r="27" spans="1:38" ht="11.85" customHeight="1">
      <c r="A27" s="218"/>
      <c r="B27" s="218"/>
      <c r="C27" s="219"/>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18"/>
    </row>
    <row r="28" spans="1:38" ht="13.2" customHeight="1">
      <c r="A28" s="218"/>
      <c r="B28" s="218"/>
      <c r="C28" s="219"/>
      <c r="E28" s="1261" t="s">
        <v>2618</v>
      </c>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18"/>
    </row>
    <row r="29" spans="1:38" ht="13.2" customHeight="1">
      <c r="A29" s="218"/>
      <c r="B29" s="218"/>
      <c r="C29" s="219"/>
      <c r="E29" s="1261"/>
      <c r="F29" s="1261"/>
      <c r="G29" s="1261"/>
      <c r="H29" s="1261"/>
      <c r="I29" s="1261"/>
      <c r="J29" s="1261"/>
      <c r="K29" s="1261"/>
      <c r="L29" s="1261"/>
      <c r="M29" s="1261"/>
      <c r="N29" s="1261"/>
      <c r="O29" s="1261"/>
      <c r="P29" s="1261"/>
      <c r="Q29" s="1261"/>
      <c r="R29" s="1261"/>
      <c r="S29" s="1261"/>
      <c r="T29" s="1261"/>
      <c r="U29" s="1261"/>
      <c r="V29" s="1261"/>
      <c r="W29" s="1261"/>
      <c r="X29" s="1261"/>
      <c r="Y29" s="1261"/>
      <c r="Z29" s="1261"/>
      <c r="AA29" s="1261"/>
      <c r="AB29" s="1261"/>
      <c r="AC29" s="1261"/>
      <c r="AD29" s="1261"/>
      <c r="AE29" s="1261"/>
      <c r="AF29" s="1261"/>
      <c r="AG29" s="1261"/>
      <c r="AH29" s="1261"/>
      <c r="AI29" s="1261"/>
      <c r="AJ29" s="1261"/>
      <c r="AK29" s="1261"/>
      <c r="AL29" s="218"/>
    </row>
    <row r="30" spans="1:38">
      <c r="A30" s="218"/>
      <c r="B30" s="218"/>
      <c r="C30" s="219"/>
      <c r="D30" s="490"/>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2" customHeight="1">
      <c r="A32" s="218"/>
      <c r="B32" s="218"/>
      <c r="C32" s="219"/>
      <c r="D32" s="1261" t="s">
        <v>2432</v>
      </c>
      <c r="E32" s="1261"/>
      <c r="F32" s="1261"/>
      <c r="G32" s="1261"/>
      <c r="H32" s="1261"/>
      <c r="I32" s="1261"/>
      <c r="J32" s="1261"/>
      <c r="K32" s="1261"/>
      <c r="L32" s="1261"/>
      <c r="M32" s="1261"/>
      <c r="N32" s="1261"/>
      <c r="O32" s="1261"/>
      <c r="P32" s="1261"/>
      <c r="Q32" s="1261"/>
      <c r="R32" s="1261"/>
      <c r="S32" s="1261"/>
      <c r="T32" s="1261"/>
      <c r="U32" s="1261"/>
      <c r="V32" s="1261"/>
      <c r="W32" s="1261"/>
      <c r="X32" s="1261"/>
      <c r="Y32" s="1261"/>
      <c r="Z32" s="1261"/>
      <c r="AA32" s="1261"/>
      <c r="AB32" s="1261"/>
      <c r="AC32" s="1261"/>
      <c r="AD32" s="1261"/>
      <c r="AE32" s="1261"/>
      <c r="AF32" s="1261"/>
      <c r="AG32" s="1261"/>
      <c r="AH32" s="1261"/>
      <c r="AI32" s="1261"/>
      <c r="AJ32" s="1261"/>
      <c r="AK32" s="1261"/>
      <c r="AL32" s="218"/>
    </row>
    <row r="33" spans="1:38">
      <c r="A33" s="218"/>
      <c r="B33" s="218"/>
      <c r="C33" s="219"/>
      <c r="D33" s="490"/>
      <c r="E33" s="1262" t="s">
        <v>2614</v>
      </c>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c r="AL33" s="218"/>
    </row>
    <row r="34" spans="1:38">
      <c r="A34" s="4"/>
      <c r="C34" s="2"/>
    </row>
    <row r="35" spans="1:38">
      <c r="A35" s="4"/>
      <c r="D35" s="1273" t="s">
        <v>2610</v>
      </c>
      <c r="E35" s="1273"/>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73"/>
      <c r="E36" s="1273"/>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c r="A37" s="4"/>
      <c r="D37" s="120"/>
      <c r="E37" s="1268" t="s">
        <v>2439</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c r="A38" s="4"/>
      <c r="D38" s="120"/>
      <c r="E38" s="1268" t="s">
        <v>2440</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1" customFormat="1" ht="13.2" customHeight="1">
      <c r="A42" s="4"/>
      <c r="B42"/>
      <c r="C42" s="2"/>
      <c r="D42" s="4"/>
      <c r="E42" s="4" t="s">
        <v>663</v>
      </c>
      <c r="F42" s="1261" t="s">
        <v>1306</v>
      </c>
    </row>
    <row r="43" spans="1:38" s="1261" customFormat="1" ht="13.2"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2" customHeight="1">
      <c r="A45" s="4"/>
      <c r="B45"/>
      <c r="C45" s="2"/>
      <c r="D45" s="4"/>
      <c r="E45" s="3" t="s">
        <v>350</v>
      </c>
      <c r="F45" s="1267" t="s">
        <v>1401</v>
      </c>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s="118" customFormat="1">
      <c r="A46" s="4"/>
      <c r="B46"/>
      <c r="C46" s="2"/>
      <c r="D46" s="4"/>
      <c r="E46" s="4"/>
      <c r="F46" s="1267"/>
      <c r="G46" s="1267"/>
      <c r="H46" s="1267"/>
      <c r="I46" s="1267"/>
      <c r="J46" s="1267"/>
      <c r="K46" s="1267"/>
      <c r="L46" s="1267"/>
      <c r="M46" s="1267"/>
      <c r="N46" s="1267"/>
      <c r="O46" s="1267"/>
      <c r="P46" s="1267"/>
      <c r="Q46" s="1267"/>
      <c r="R46" s="1267"/>
      <c r="S46" s="1267"/>
      <c r="T46" s="1267"/>
      <c r="U46" s="1267"/>
      <c r="V46" s="1267"/>
      <c r="W46" s="1267"/>
      <c r="X46" s="1267"/>
      <c r="Y46" s="1267"/>
      <c r="Z46" s="1267"/>
      <c r="AA46" s="1267"/>
      <c r="AB46" s="1267"/>
      <c r="AC46" s="1267"/>
      <c r="AD46" s="1267"/>
      <c r="AE46" s="1267"/>
      <c r="AF46" s="1267"/>
      <c r="AG46" s="1267"/>
      <c r="AH46" s="1267"/>
      <c r="AI46" s="1267"/>
      <c r="AJ46" s="1267"/>
      <c r="AK46" s="1267"/>
      <c r="AL46" s="1267"/>
    </row>
    <row r="47" spans="1:38" s="118" customFormat="1" ht="13.2" customHeight="1">
      <c r="A47" s="4"/>
      <c r="B47"/>
      <c r="C47" s="2"/>
      <c r="D47" s="4"/>
      <c r="E47" s="4"/>
      <c r="F47" s="1267"/>
      <c r="G47" s="1267"/>
      <c r="H47" s="1267"/>
      <c r="I47" s="1267"/>
      <c r="J47" s="1267"/>
      <c r="K47" s="1267"/>
      <c r="L47" s="1267"/>
      <c r="M47" s="1267"/>
      <c r="N47" s="1267"/>
      <c r="O47" s="1267"/>
      <c r="P47" s="1267"/>
      <c r="Q47" s="1267"/>
      <c r="R47" s="1267"/>
      <c r="S47" s="1267"/>
      <c r="T47" s="1267"/>
      <c r="U47" s="1267"/>
      <c r="V47" s="1267"/>
      <c r="W47" s="1267"/>
      <c r="X47" s="1267"/>
      <c r="Y47" s="1267"/>
      <c r="Z47" s="1267"/>
      <c r="AA47" s="1267"/>
      <c r="AB47" s="1267"/>
      <c r="AC47" s="1267"/>
      <c r="AD47" s="1267"/>
      <c r="AE47" s="1267"/>
      <c r="AF47" s="1267"/>
      <c r="AG47" s="1267"/>
      <c r="AH47" s="1267"/>
      <c r="AI47" s="1267"/>
      <c r="AJ47" s="1267"/>
      <c r="AK47" s="1267"/>
      <c r="AL47" s="1267"/>
    </row>
    <row r="48" spans="1:38">
      <c r="A48" s="4"/>
      <c r="C48" s="2"/>
      <c r="D48" s="4"/>
      <c r="E48" s="4"/>
      <c r="F48" s="118" t="s">
        <v>698</v>
      </c>
      <c r="G48" s="3" t="s">
        <v>2433</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1" t="s">
        <v>2434</v>
      </c>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c r="A51" s="4"/>
      <c r="C51" s="2"/>
      <c r="D51" s="4"/>
      <c r="E51" s="4"/>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row>
    <row r="52" spans="1:38">
      <c r="A52" s="4"/>
      <c r="C52" s="2"/>
      <c r="D52" s="4"/>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1334</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698</v>
      </c>
      <c r="G56" s="1266" t="s">
        <v>1333</v>
      </c>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218"/>
    </row>
    <row r="57" spans="1:38" ht="13.2" customHeight="1">
      <c r="A57" s="218"/>
      <c r="B57" s="218"/>
      <c r="C57" s="219"/>
      <c r="D57" s="219"/>
      <c r="E57" s="218"/>
      <c r="F57" s="220"/>
      <c r="G57" s="513" t="s">
        <v>1335</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6" t="s">
        <v>585</v>
      </c>
      <c r="H58" s="1266"/>
      <c r="I58" s="1266"/>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2" customHeight="1">
      <c r="A59" s="218"/>
      <c r="B59" s="219"/>
      <c r="C59" s="219"/>
      <c r="D59" s="219"/>
      <c r="E59" s="218"/>
      <c r="F59" s="220" t="s">
        <v>519</v>
      </c>
      <c r="G59" s="1266" t="s">
        <v>2435</v>
      </c>
      <c r="H59" s="1266"/>
      <c r="I59" s="1266"/>
      <c r="J59" s="1266"/>
      <c r="K59" s="1266"/>
      <c r="L59" s="1266"/>
      <c r="M59" s="1266"/>
      <c r="N59" s="1266"/>
      <c r="O59" s="1266"/>
      <c r="P59" s="1266"/>
      <c r="Q59" s="1266"/>
      <c r="R59" s="1266"/>
      <c r="S59" s="1266"/>
      <c r="T59" s="1266"/>
      <c r="U59" s="1266"/>
      <c r="V59" s="1266"/>
      <c r="W59" s="1266"/>
      <c r="X59" s="1266"/>
      <c r="Y59" s="1266"/>
      <c r="Z59" s="1266"/>
      <c r="AA59" s="1266"/>
      <c r="AB59" s="1266"/>
      <c r="AC59" s="1266"/>
      <c r="AD59" s="1266"/>
      <c r="AE59" s="1266"/>
      <c r="AF59" s="1266"/>
      <c r="AG59" s="1266"/>
      <c r="AH59" s="1266"/>
      <c r="AI59" s="1266"/>
      <c r="AJ59" s="1266"/>
      <c r="AK59" s="1266"/>
      <c r="AL59" s="1266"/>
    </row>
    <row r="60" spans="1:38">
      <c r="A60" s="218"/>
      <c r="B60" s="218"/>
      <c r="C60" s="219"/>
      <c r="D60" s="219"/>
      <c r="E60" s="218"/>
      <c r="F60" s="220"/>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row>
    <row r="61" spans="1:38">
      <c r="A61" s="218"/>
      <c r="B61" s="218"/>
      <c r="C61" s="219"/>
      <c r="D61" s="219"/>
      <c r="E61" s="218"/>
      <c r="F61" s="220"/>
      <c r="G61" s="514" t="s">
        <v>1442</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1307</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1" t="s">
        <v>1308</v>
      </c>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c r="A67" s="4"/>
      <c r="C67" s="2"/>
      <c r="D67" s="4"/>
      <c r="E67" s="4"/>
      <c r="G67" s="1261"/>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c r="A68" s="4"/>
      <c r="C68" s="2"/>
      <c r="D68" s="4"/>
      <c r="E68" s="4"/>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ht="13.2" customHeight="1">
      <c r="A69" s="4"/>
      <c r="C69" s="2"/>
      <c r="D69" s="4"/>
      <c r="E69" s="4"/>
      <c r="F69" t="s">
        <v>519</v>
      </c>
      <c r="G69" s="1261" t="s">
        <v>1309</v>
      </c>
      <c r="H69" s="1261"/>
      <c r="I69" s="1261"/>
      <c r="J69" s="1261"/>
      <c r="K69" s="1261"/>
      <c r="L69" s="1261"/>
      <c r="M69" s="1261"/>
      <c r="N69" s="1261"/>
      <c r="O69" s="1261"/>
      <c r="P69" s="1261"/>
      <c r="Q69" s="1261"/>
      <c r="R69" s="1261"/>
      <c r="S69" s="1261"/>
      <c r="T69" s="1261"/>
      <c r="U69" s="1261"/>
      <c r="V69" s="1261"/>
      <c r="W69" s="1261"/>
      <c r="X69" s="1261"/>
      <c r="Y69" s="1261"/>
      <c r="Z69" s="1261"/>
      <c r="AA69" s="1261"/>
      <c r="AB69" s="1261"/>
      <c r="AC69" s="1261"/>
      <c r="AD69" s="1261"/>
      <c r="AE69" s="1261"/>
      <c r="AF69" s="1261"/>
      <c r="AG69" s="1261"/>
      <c r="AH69" s="1261"/>
      <c r="AI69" s="1261"/>
      <c r="AJ69" s="1261"/>
      <c r="AK69" s="1261"/>
    </row>
    <row r="70" spans="1:37">
      <c r="A70" s="4"/>
      <c r="C70" s="2"/>
      <c r="D70" s="4"/>
      <c r="E70" s="4"/>
      <c r="F70" s="27"/>
      <c r="G70" s="1261"/>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1" t="s">
        <v>1310</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c r="A74" s="4"/>
      <c r="C74" s="2"/>
      <c r="D74" s="4"/>
      <c r="E74" s="4"/>
      <c r="F74" s="8" t="s">
        <v>519</v>
      </c>
      <c r="G74" s="1261" t="s">
        <v>1311</v>
      </c>
      <c r="H74" s="1261"/>
      <c r="I74" s="1261"/>
      <c r="J74" s="1261"/>
      <c r="K74" s="1261"/>
      <c r="L74" s="1261"/>
      <c r="M74" s="1261"/>
      <c r="N74" s="1261"/>
      <c r="O74" s="1261"/>
      <c r="P74" s="1261"/>
      <c r="Q74" s="1261"/>
      <c r="R74" s="1261"/>
      <c r="S74" s="1261"/>
      <c r="T74" s="1261"/>
      <c r="U74" s="1261"/>
      <c r="V74" s="1261"/>
      <c r="W74" s="1261"/>
      <c r="X74" s="1261"/>
      <c r="Y74" s="1261"/>
      <c r="Z74" s="1261"/>
      <c r="AA74" s="1261"/>
      <c r="AB74" s="1261"/>
      <c r="AC74" s="1261"/>
      <c r="AD74" s="1261"/>
      <c r="AE74" s="1261"/>
      <c r="AF74" s="1261"/>
      <c r="AG74" s="1261"/>
      <c r="AH74" s="1261"/>
      <c r="AI74" s="1261"/>
      <c r="AJ74" s="1261"/>
      <c r="AK74" s="1261"/>
    </row>
    <row r="75" spans="1:37">
      <c r="A75" s="4"/>
      <c r="C75" s="2"/>
      <c r="D75" s="4"/>
      <c r="E75" s="4"/>
      <c r="F75" s="8"/>
      <c r="G75" s="1261"/>
      <c r="H75" s="1261"/>
      <c r="I75" s="1261"/>
      <c r="J75" s="1261"/>
      <c r="K75" s="1261"/>
      <c r="L75" s="1261"/>
      <c r="M75" s="1261"/>
      <c r="N75" s="1261"/>
      <c r="O75" s="1261"/>
      <c r="P75" s="1261"/>
      <c r="Q75" s="1261"/>
      <c r="R75" s="1261"/>
      <c r="S75" s="1261"/>
      <c r="T75" s="1261"/>
      <c r="U75" s="1261"/>
      <c r="V75" s="1261"/>
      <c r="W75" s="1261"/>
      <c r="X75" s="1261"/>
      <c r="Y75" s="1261"/>
      <c r="Z75" s="1261"/>
      <c r="AA75" s="1261"/>
      <c r="AB75" s="1261"/>
      <c r="AC75" s="1261"/>
      <c r="AD75" s="1261"/>
      <c r="AE75" s="1261"/>
      <c r="AF75" s="1261"/>
      <c r="AG75" s="1261"/>
      <c r="AH75" s="1261"/>
      <c r="AI75" s="1261"/>
      <c r="AJ75" s="1261"/>
      <c r="AK75" s="1261"/>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280</v>
      </c>
      <c r="G78" s="4" t="s">
        <v>1071</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893</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1" t="s">
        <v>1312</v>
      </c>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c r="A83" s="4"/>
      <c r="C83" s="2"/>
      <c r="D83" s="4"/>
      <c r="E83" s="4"/>
      <c r="F83" s="4"/>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row>
    <row r="84" spans="1:37">
      <c r="A84" s="4"/>
      <c r="C84" s="2"/>
      <c r="D84" s="4"/>
      <c r="E84" s="4"/>
      <c r="F84" s="4"/>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1" t="s">
        <v>1313</v>
      </c>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c r="A87" s="4"/>
      <c r="C87" s="2"/>
      <c r="D87" s="4"/>
      <c r="E87" s="4"/>
      <c r="F87" s="4"/>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row>
    <row r="88" spans="1:37">
      <c r="A88" s="4"/>
      <c r="C88" s="2"/>
      <c r="D88" s="4"/>
      <c r="E88" s="4"/>
      <c r="G88" s="1261"/>
      <c r="H88" s="1261"/>
      <c r="I88" s="1261"/>
      <c r="J88" s="1261"/>
      <c r="K88" s="1261"/>
      <c r="L88" s="1261"/>
      <c r="M88" s="1261"/>
      <c r="N88" s="1261"/>
      <c r="O88" s="1261"/>
      <c r="P88" s="1261"/>
      <c r="Q88" s="1261"/>
      <c r="R88" s="1261"/>
      <c r="S88" s="1261"/>
      <c r="T88" s="1261"/>
      <c r="U88" s="1261"/>
      <c r="V88" s="1261"/>
      <c r="W88" s="1261"/>
      <c r="X88" s="1261"/>
      <c r="Y88" s="1261"/>
      <c r="Z88" s="1261"/>
      <c r="AA88" s="1261"/>
      <c r="AB88" s="1261"/>
      <c r="AC88" s="1261"/>
      <c r="AD88" s="1261"/>
      <c r="AE88" s="1261"/>
      <c r="AF88" s="1261"/>
      <c r="AG88" s="1261"/>
      <c r="AH88" s="1261"/>
      <c r="AI88" s="1261"/>
      <c r="AJ88" s="1261"/>
      <c r="AK88" s="1261"/>
    </row>
    <row r="89" spans="1:37">
      <c r="A89" s="4"/>
      <c r="C89" s="2"/>
      <c r="D89" s="4"/>
      <c r="E89" s="4" t="s">
        <v>264</v>
      </c>
      <c r="F89" t="s">
        <v>894</v>
      </c>
      <c r="G89" s="4"/>
      <c r="L89" s="4"/>
      <c r="M89" s="4"/>
      <c r="P89" s="4"/>
      <c r="Q89" s="4"/>
      <c r="R89" s="4"/>
      <c r="S89" s="4"/>
      <c r="T89" s="4"/>
      <c r="U89" s="4"/>
      <c r="V89" s="4"/>
      <c r="W89" s="4"/>
      <c r="X89" s="4"/>
      <c r="Y89" s="4"/>
      <c r="Z89" s="4"/>
      <c r="AA89" s="4"/>
      <c r="AB89" s="4"/>
    </row>
    <row r="90" spans="1:37">
      <c r="A90" s="4"/>
      <c r="C90" s="2"/>
      <c r="D90" s="4"/>
      <c r="E90" s="4"/>
      <c r="G90" s="1264" t="s">
        <v>1314</v>
      </c>
      <c r="H90" s="1264"/>
      <c r="I90" s="1264"/>
      <c r="J90" s="1264"/>
      <c r="K90" s="1264"/>
      <c r="L90" s="1264"/>
      <c r="M90" s="1264"/>
      <c r="N90" s="1264"/>
      <c r="O90" s="1264"/>
      <c r="P90" s="1264"/>
      <c r="Q90" s="1264"/>
      <c r="R90" s="1264"/>
      <c r="S90" s="1264"/>
      <c r="T90" s="1264"/>
      <c r="U90" s="1264"/>
      <c r="V90" s="1264"/>
      <c r="W90" s="1264"/>
      <c r="X90" s="1264"/>
      <c r="Y90" s="1264"/>
      <c r="Z90" s="1264"/>
      <c r="AA90" s="1264"/>
      <c r="AB90" s="1264"/>
      <c r="AC90" s="1264"/>
      <c r="AD90" s="1264"/>
      <c r="AE90" s="1264"/>
      <c r="AF90" s="1264"/>
      <c r="AG90" s="1264"/>
      <c r="AH90" s="1264"/>
      <c r="AI90" s="1264"/>
      <c r="AJ90" s="1264"/>
      <c r="AK90" s="1264"/>
    </row>
    <row r="91" spans="1:37">
      <c r="A91" s="4"/>
      <c r="C91" s="2"/>
      <c r="D91" s="4"/>
      <c r="E91" s="4"/>
      <c r="G91" s="1264"/>
      <c r="H91" s="1264"/>
      <c r="I91" s="1264"/>
      <c r="J91" s="1264"/>
      <c r="K91" s="1264"/>
      <c r="L91" s="1264"/>
      <c r="M91" s="1264"/>
      <c r="N91" s="1264"/>
      <c r="O91" s="1264"/>
      <c r="P91" s="1264"/>
      <c r="Q91" s="1264"/>
      <c r="R91" s="1264"/>
      <c r="S91" s="1264"/>
      <c r="T91" s="1264"/>
      <c r="U91" s="1264"/>
      <c r="V91" s="1264"/>
      <c r="W91" s="1264"/>
      <c r="X91" s="1264"/>
      <c r="Y91" s="1264"/>
      <c r="Z91" s="1264"/>
      <c r="AA91" s="1264"/>
      <c r="AB91" s="1264"/>
      <c r="AC91" s="1264"/>
      <c r="AD91" s="1264"/>
      <c r="AE91" s="1264"/>
      <c r="AF91" s="1264"/>
      <c r="AG91" s="1264"/>
      <c r="AH91" s="1264"/>
      <c r="AI91" s="1264"/>
      <c r="AJ91" s="1264"/>
      <c r="AK91" s="1264"/>
    </row>
    <row r="92" spans="1:37">
      <c r="A92" s="4"/>
      <c r="C92" s="2"/>
      <c r="D92" s="4"/>
      <c r="E92" s="4"/>
      <c r="G92" s="1264"/>
      <c r="H92" s="1264"/>
      <c r="I92" s="1264"/>
      <c r="J92" s="1264"/>
      <c r="K92" s="1264"/>
      <c r="L92" s="1264"/>
      <c r="M92" s="1264"/>
      <c r="N92" s="1264"/>
      <c r="O92" s="1264"/>
      <c r="P92" s="1264"/>
      <c r="Q92" s="1264"/>
      <c r="R92" s="1264"/>
      <c r="S92" s="1264"/>
      <c r="T92" s="1264"/>
      <c r="U92" s="1264"/>
      <c r="V92" s="1264"/>
      <c r="W92" s="1264"/>
      <c r="X92" s="1264"/>
      <c r="Y92" s="1264"/>
      <c r="Z92" s="1264"/>
      <c r="AA92" s="1264"/>
      <c r="AB92" s="1264"/>
      <c r="AC92" s="1264"/>
      <c r="AD92" s="1264"/>
      <c r="AE92" s="1264"/>
      <c r="AF92" s="1264"/>
      <c r="AG92" s="1264"/>
      <c r="AH92" s="1264"/>
      <c r="AI92" s="1264"/>
      <c r="AJ92" s="1264"/>
      <c r="AK92" s="1264"/>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1" t="s">
        <v>1315</v>
      </c>
      <c r="H94" s="1261"/>
      <c r="I94" s="1261"/>
      <c r="J94" s="1261"/>
      <c r="K94" s="1261"/>
      <c r="L94" s="1261"/>
      <c r="M94" s="1261"/>
      <c r="N94" s="1261"/>
      <c r="O94" s="1261"/>
      <c r="P94" s="1261"/>
      <c r="Q94" s="1261"/>
      <c r="R94" s="1261"/>
      <c r="S94" s="1261"/>
      <c r="T94" s="1261"/>
      <c r="U94" s="1261"/>
      <c r="V94" s="1261"/>
      <c r="W94" s="1261"/>
      <c r="X94" s="1261"/>
      <c r="Y94" s="1261"/>
      <c r="Z94" s="1261"/>
      <c r="AA94" s="1261"/>
      <c r="AB94" s="1261"/>
      <c r="AC94" s="1261"/>
      <c r="AD94" s="1261"/>
      <c r="AE94" s="1261"/>
      <c r="AF94" s="1261"/>
      <c r="AG94" s="1261"/>
      <c r="AH94" s="1261"/>
      <c r="AI94" s="1261"/>
      <c r="AJ94" s="1261"/>
      <c r="AK94" s="1261"/>
    </row>
    <row r="95" spans="1:37">
      <c r="A95" s="4"/>
      <c r="C95" s="2"/>
      <c r="D95" s="4"/>
      <c r="E95" s="4"/>
      <c r="G95" s="1261"/>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1" t="s">
        <v>1316</v>
      </c>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c r="A98" s="4"/>
      <c r="C98" s="2"/>
      <c r="D98" s="4"/>
      <c r="E98" s="4"/>
      <c r="G98" s="1261"/>
      <c r="H98" s="1261"/>
      <c r="I98" s="1261"/>
      <c r="J98" s="1261"/>
      <c r="K98" s="1261"/>
      <c r="L98" s="1261"/>
      <c r="M98" s="1261"/>
      <c r="N98" s="1261"/>
      <c r="O98" s="1261"/>
      <c r="P98" s="1261"/>
      <c r="Q98" s="1261"/>
      <c r="R98" s="1261"/>
      <c r="S98" s="1261"/>
      <c r="T98" s="1261"/>
      <c r="U98" s="1261"/>
      <c r="V98" s="1261"/>
      <c r="W98" s="1261"/>
      <c r="X98" s="1261"/>
      <c r="Y98" s="1261"/>
      <c r="Z98" s="1261"/>
      <c r="AA98" s="1261"/>
      <c r="AB98" s="1261"/>
      <c r="AC98" s="1261"/>
      <c r="AD98" s="1261"/>
      <c r="AE98" s="1261"/>
      <c r="AF98" s="1261"/>
      <c r="AG98" s="1261"/>
      <c r="AH98" s="1261"/>
      <c r="AI98" s="1261"/>
      <c r="AJ98" s="1261"/>
      <c r="AK98" s="1261"/>
    </row>
    <row r="99" spans="1:38">
      <c r="A99" s="4"/>
      <c r="C99" s="2"/>
      <c r="D99" s="4"/>
      <c r="E99" s="4"/>
      <c r="G99" s="1261"/>
      <c r="H99" s="1261"/>
      <c r="I99" s="1261"/>
      <c r="J99" s="1261"/>
      <c r="K99" s="1261"/>
      <c r="L99" s="1261"/>
      <c r="M99" s="1261"/>
      <c r="N99" s="1261"/>
      <c r="O99" s="1261"/>
      <c r="P99" s="1261"/>
      <c r="Q99" s="1261"/>
      <c r="R99" s="1261"/>
      <c r="S99" s="1261"/>
      <c r="T99" s="1261"/>
      <c r="U99" s="1261"/>
      <c r="V99" s="1261"/>
      <c r="W99" s="1261"/>
      <c r="X99" s="1261"/>
      <c r="Y99" s="1261"/>
      <c r="Z99" s="1261"/>
      <c r="AA99" s="1261"/>
      <c r="AB99" s="1261"/>
      <c r="AC99" s="1261"/>
      <c r="AD99" s="1261"/>
      <c r="AE99" s="1261"/>
      <c r="AF99" s="1261"/>
      <c r="AG99" s="1261"/>
      <c r="AH99" s="1261"/>
      <c r="AI99" s="1261"/>
      <c r="AJ99" s="1261"/>
      <c r="AK99" s="1261"/>
    </row>
    <row r="100" spans="1:38">
      <c r="A100" s="4"/>
      <c r="D100" s="99"/>
      <c r="E100" s="1265" t="s">
        <v>1317</v>
      </c>
      <c r="F100" s="1265"/>
      <c r="G100" s="1265"/>
      <c r="H100" s="1265"/>
      <c r="I100" s="1265"/>
      <c r="J100" s="1265"/>
      <c r="K100" s="1265"/>
      <c r="L100" s="1265"/>
      <c r="M100" s="1265"/>
      <c r="N100" s="1265"/>
      <c r="O100" s="1265"/>
      <c r="P100" s="1265"/>
      <c r="Q100" s="1265"/>
      <c r="R100" s="1265"/>
      <c r="S100" s="1265"/>
      <c r="T100" s="1265"/>
      <c r="U100" s="1265"/>
      <c r="V100" s="1265"/>
      <c r="W100" s="1265"/>
      <c r="X100" s="1265"/>
      <c r="Y100" s="1265"/>
      <c r="Z100" s="1265"/>
      <c r="AA100" s="1265"/>
      <c r="AB100" s="1265"/>
      <c r="AC100" s="1265"/>
      <c r="AD100" s="1265"/>
      <c r="AE100" s="1265"/>
      <c r="AF100" s="1265"/>
      <c r="AG100" s="1265"/>
      <c r="AH100" s="1265"/>
      <c r="AI100" s="1265"/>
      <c r="AJ100" s="1265"/>
      <c r="AK100" s="1265"/>
    </row>
    <row r="101" spans="1:38">
      <c r="A101" s="4"/>
      <c r="D101" s="99"/>
      <c r="E101" s="1265"/>
      <c r="F101" s="1265"/>
      <c r="G101" s="1265"/>
      <c r="H101" s="1265"/>
      <c r="I101" s="1265"/>
      <c r="J101" s="1265"/>
      <c r="K101" s="1265"/>
      <c r="L101" s="1265"/>
      <c r="M101" s="1265"/>
      <c r="N101" s="1265"/>
      <c r="O101" s="1265"/>
      <c r="P101" s="1265"/>
      <c r="Q101" s="1265"/>
      <c r="R101" s="1265"/>
      <c r="S101" s="1265"/>
      <c r="T101" s="1265"/>
      <c r="U101" s="1265"/>
      <c r="V101" s="1265"/>
      <c r="W101" s="1265"/>
      <c r="X101" s="1265"/>
      <c r="Y101" s="1265"/>
      <c r="Z101" s="1265"/>
      <c r="AA101" s="1265"/>
      <c r="AB101" s="1265"/>
      <c r="AC101" s="1265"/>
      <c r="AD101" s="1265"/>
      <c r="AE101" s="1265"/>
      <c r="AF101" s="1265"/>
      <c r="AG101" s="1265"/>
      <c r="AH101" s="1265"/>
      <c r="AI101" s="1265"/>
      <c r="AJ101" s="1265"/>
      <c r="AK101" s="1265"/>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1328</v>
      </c>
      <c r="H105" s="2"/>
      <c r="I105" s="2"/>
      <c r="K105" s="2"/>
    </row>
    <row r="106" spans="1:38">
      <c r="B106" s="2"/>
      <c r="C106" s="2"/>
      <c r="D106" s="2" t="s">
        <v>209</v>
      </c>
      <c r="E106" s="2" t="s">
        <v>1330</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591</v>
      </c>
      <c r="F118" s="98" t="s">
        <v>961</v>
      </c>
    </row>
    <row r="119" spans="2:16">
      <c r="F119" s="4" t="s">
        <v>1072</v>
      </c>
      <c r="G119" s="4"/>
    </row>
    <row r="120" spans="2:16">
      <c r="F120" s="99" t="s">
        <v>1329</v>
      </c>
      <c r="G120" s="99"/>
    </row>
    <row r="121" spans="2:16">
      <c r="G121" s="99"/>
    </row>
    <row r="122" spans="2:16">
      <c r="E122" s="4" t="s">
        <v>788</v>
      </c>
      <c r="F122" s="98" t="s">
        <v>380</v>
      </c>
    </row>
    <row r="123" spans="2:16">
      <c r="E123" s="4"/>
      <c r="F123" s="4" t="s">
        <v>1063</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962</v>
      </c>
      <c r="F127" s="4"/>
    </row>
    <row r="128" spans="2:16"/>
    <row r="129" spans="4:37">
      <c r="D129" s="2" t="s">
        <v>343</v>
      </c>
      <c r="E129" s="2" t="s">
        <v>587</v>
      </c>
    </row>
    <row r="130" spans="4:37">
      <c r="E130" s="4" t="s">
        <v>962</v>
      </c>
      <c r="F130" s="4"/>
    </row>
    <row r="131" spans="4:37"/>
    <row r="132" spans="4:37">
      <c r="D132" s="2" t="s">
        <v>584</v>
      </c>
      <c r="E132" s="2" t="s">
        <v>737</v>
      </c>
      <c r="G132" s="2"/>
      <c r="H132" s="2"/>
      <c r="I132" s="2"/>
      <c r="J132" s="2"/>
      <c r="K132" s="2"/>
      <c r="L132" s="2"/>
      <c r="M132" s="2"/>
      <c r="N132" s="2"/>
    </row>
    <row r="133" spans="4:37">
      <c r="D133" s="2"/>
      <c r="E133" s="119" t="s">
        <v>1414</v>
      </c>
      <c r="G133" s="2"/>
      <c r="H133" s="2"/>
      <c r="I133" s="2"/>
      <c r="J133" s="2"/>
      <c r="K133" s="2"/>
      <c r="L133" s="2"/>
      <c r="M133" s="2"/>
      <c r="N133" s="2"/>
    </row>
    <row r="134" spans="4:37" ht="12.75" customHeight="1">
      <c r="E134" s="119" t="s">
        <v>1412</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1413</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1355</v>
      </c>
      <c r="F138" s="4"/>
    </row>
    <row r="139" spans="4:37">
      <c r="F139" s="4"/>
    </row>
    <row r="140" spans="4:37">
      <c r="D140" s="2" t="s">
        <v>305</v>
      </c>
      <c r="E140" s="2" t="s">
        <v>2436</v>
      </c>
      <c r="F140" s="2"/>
      <c r="G140" s="2"/>
      <c r="H140" s="2"/>
    </row>
    <row r="141" spans="4:37">
      <c r="E141" t="s">
        <v>113</v>
      </c>
      <c r="F141" t="s">
        <v>52</v>
      </c>
    </row>
    <row r="142" spans="4:37">
      <c r="E142" t="s">
        <v>114</v>
      </c>
      <c r="F142" t="s">
        <v>476</v>
      </c>
    </row>
    <row r="143" spans="4:37"/>
    <row r="144" spans="4:37">
      <c r="D144" s="2" t="s">
        <v>431</v>
      </c>
      <c r="E144" s="2" t="s">
        <v>2437</v>
      </c>
    </row>
    <row r="145" spans="3:7">
      <c r="E145" s="218" t="s">
        <v>2438</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964</v>
      </c>
      <c r="F152" s="4"/>
    </row>
    <row r="153" spans="3:7"/>
    <row r="154" spans="3:7">
      <c r="D154" s="2" t="s">
        <v>584</v>
      </c>
      <c r="E154" s="2" t="s">
        <v>563</v>
      </c>
    </row>
    <row r="155" spans="3:7">
      <c r="E155" s="4" t="s">
        <v>965</v>
      </c>
    </row>
    <row r="156" spans="3:7">
      <c r="E156" s="4" t="s">
        <v>963</v>
      </c>
      <c r="G156" s="4"/>
    </row>
    <row r="157" spans="3:7"/>
    <row r="158" spans="3:7">
      <c r="D158" s="2" t="s">
        <v>524</v>
      </c>
      <c r="E158" s="2" t="s">
        <v>543</v>
      </c>
    </row>
    <row r="159" spans="3:7">
      <c r="E159" t="s">
        <v>113</v>
      </c>
      <c r="F159" s="4" t="s">
        <v>966</v>
      </c>
    </row>
    <row r="160" spans="3:7">
      <c r="E160" s="4" t="s">
        <v>114</v>
      </c>
      <c r="F160" s="4" t="s">
        <v>967</v>
      </c>
    </row>
    <row r="161" spans="3:20">
      <c r="E161" s="4" t="s">
        <v>120</v>
      </c>
      <c r="F161" t="s">
        <v>738</v>
      </c>
    </row>
    <row r="162" spans="3:20"/>
    <row r="163" spans="3:20">
      <c r="D163" s="2" t="s">
        <v>305</v>
      </c>
      <c r="E163" s="2" t="s">
        <v>383</v>
      </c>
    </row>
    <row r="164" spans="3:20">
      <c r="E164" s="4" t="s">
        <v>968</v>
      </c>
      <c r="F164" s="4"/>
    </row>
    <row r="165" spans="3:20"/>
    <row r="166" spans="3:20">
      <c r="D166" s="2" t="s">
        <v>431</v>
      </c>
      <c r="E166" s="2" t="s">
        <v>173</v>
      </c>
    </row>
    <row r="167" spans="3:20">
      <c r="E167" s="4" t="s">
        <v>970</v>
      </c>
    </row>
    <row r="168" spans="3:20">
      <c r="E168" s="4" t="s">
        <v>969</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971</v>
      </c>
    </row>
    <row r="180" spans="2:19">
      <c r="F180" s="120" t="s">
        <v>1286</v>
      </c>
      <c r="I180" s="120"/>
    </row>
    <row r="181" spans="2:19">
      <c r="I181" s="120"/>
    </row>
    <row r="182" spans="2:19">
      <c r="B182" s="4"/>
      <c r="C182" s="4"/>
      <c r="E182" t="s">
        <v>114</v>
      </c>
      <c r="F182" s="3" t="s">
        <v>896</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1064</v>
      </c>
    </row>
    <row r="186" spans="2:19">
      <c r="B186" s="4"/>
      <c r="C186" s="4"/>
      <c r="E186" s="4" t="s">
        <v>722</v>
      </c>
      <c r="F186" s="4"/>
      <c r="I186" s="4"/>
    </row>
    <row r="187" spans="2:19">
      <c r="B187" s="4"/>
      <c r="C187" s="4"/>
      <c r="E187" s="4" t="s">
        <v>1062</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1073</v>
      </c>
      <c r="G193" s="4"/>
      <c r="H193" s="4"/>
      <c r="I193" s="4"/>
    </row>
    <row r="194" spans="2:37">
      <c r="B194" s="4"/>
      <c r="C194" s="2"/>
      <c r="F194" s="4" t="s">
        <v>663</v>
      </c>
      <c r="G194" s="3" t="s">
        <v>1349</v>
      </c>
    </row>
    <row r="195" spans="2:37">
      <c r="B195" s="4"/>
      <c r="C195" s="4"/>
      <c r="F195" s="4" t="s">
        <v>350</v>
      </c>
      <c r="G195" s="3" t="s">
        <v>1350</v>
      </c>
      <c r="I195" s="4"/>
      <c r="J195" s="4"/>
      <c r="M195" s="4"/>
      <c r="N195" s="4"/>
      <c r="O195" s="4"/>
      <c r="P195" s="4"/>
      <c r="Q195" s="4"/>
      <c r="R195" s="4"/>
      <c r="S195" s="4"/>
    </row>
    <row r="196" spans="2:37">
      <c r="B196" s="4"/>
      <c r="C196" s="4"/>
      <c r="F196" s="4" t="s">
        <v>351</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1074</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975</v>
      </c>
      <c r="I205" s="4"/>
      <c r="J205" s="4"/>
      <c r="M205" s="4"/>
      <c r="N205" s="4"/>
      <c r="O205" s="4"/>
      <c r="P205" s="4"/>
      <c r="Q205" s="4"/>
      <c r="R205" s="4"/>
      <c r="S205" s="4"/>
      <c r="T205" s="4"/>
      <c r="U205" s="4"/>
      <c r="V205" s="4"/>
      <c r="W205" s="4"/>
      <c r="X205" s="4"/>
      <c r="Y205" s="4"/>
    </row>
    <row r="206" spans="2:37">
      <c r="B206" s="4"/>
      <c r="C206" s="4"/>
      <c r="D206" s="2"/>
      <c r="E206" s="4" t="s">
        <v>591</v>
      </c>
      <c r="F206" s="4" t="s">
        <v>976</v>
      </c>
      <c r="M206" s="4"/>
      <c r="N206" s="4"/>
      <c r="O206" s="4"/>
      <c r="P206" s="4"/>
      <c r="Q206" s="4"/>
      <c r="R206" s="4"/>
      <c r="S206" s="4"/>
    </row>
    <row r="207" spans="2:37">
      <c r="B207" s="4"/>
      <c r="C207" s="4"/>
      <c r="D207" s="2"/>
      <c r="F207" t="s">
        <v>663</v>
      </c>
      <c r="G207" s="1261" t="s">
        <v>1318</v>
      </c>
      <c r="H207" s="1261"/>
      <c r="I207" s="1261"/>
      <c r="J207" s="1261"/>
      <c r="K207" s="1261"/>
      <c r="L207" s="1261"/>
      <c r="M207" s="1261"/>
      <c r="N207" s="1261"/>
      <c r="O207" s="1261"/>
      <c r="P207" s="1261"/>
      <c r="Q207" s="1261"/>
      <c r="R207" s="1261"/>
      <c r="S207" s="1261"/>
      <c r="T207" s="1261"/>
      <c r="U207" s="1261"/>
      <c r="V207" s="1261"/>
      <c r="W207" s="1261"/>
      <c r="X207" s="1261"/>
      <c r="Y207" s="1261"/>
      <c r="Z207" s="1261"/>
      <c r="AA207" s="1261"/>
      <c r="AB207" s="1261"/>
      <c r="AC207" s="1261"/>
      <c r="AD207" s="1261"/>
      <c r="AE207" s="1261"/>
      <c r="AF207" s="1261"/>
      <c r="AG207" s="1261"/>
      <c r="AH207" s="1261"/>
      <c r="AI207" s="1261"/>
      <c r="AJ207" s="1261"/>
      <c r="AK207" s="1261"/>
    </row>
    <row r="208" spans="2:37">
      <c r="B208" s="4"/>
      <c r="C208" s="4"/>
      <c r="D208" s="2"/>
      <c r="G208" s="1261"/>
      <c r="H208" s="1261"/>
      <c r="I208" s="1261"/>
      <c r="J208" s="1261"/>
      <c r="K208" s="1261"/>
      <c r="L208" s="1261"/>
      <c r="M208" s="1261"/>
      <c r="N208" s="1261"/>
      <c r="O208" s="1261"/>
      <c r="P208" s="1261"/>
      <c r="Q208" s="1261"/>
      <c r="R208" s="1261"/>
      <c r="S208" s="1261"/>
      <c r="T208" s="1261"/>
      <c r="U208" s="1261"/>
      <c r="V208" s="1261"/>
      <c r="W208" s="1261"/>
      <c r="X208" s="1261"/>
      <c r="Y208" s="1261"/>
      <c r="Z208" s="1261"/>
      <c r="AA208" s="1261"/>
      <c r="AB208" s="1261"/>
      <c r="AC208" s="1261"/>
      <c r="AD208" s="1261"/>
      <c r="AE208" s="1261"/>
      <c r="AF208" s="1261"/>
      <c r="AG208" s="1261"/>
      <c r="AH208" s="1261"/>
      <c r="AI208" s="1261"/>
      <c r="AJ208" s="1261"/>
      <c r="AK208" s="1261"/>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980</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981</v>
      </c>
      <c r="I243" s="4"/>
      <c r="M243" s="4"/>
      <c r="N243" s="4"/>
      <c r="O243" s="4"/>
      <c r="P243" s="4"/>
      <c r="Q243" s="4"/>
      <c r="R243" s="4"/>
      <c r="S243" s="4"/>
    </row>
    <row r="244" spans="2:21">
      <c r="B244" s="4"/>
      <c r="C244" s="4"/>
      <c r="F244" s="4" t="s">
        <v>350</v>
      </c>
      <c r="G244" s="136" t="s">
        <v>982</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1287</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983</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1075</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1067</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4"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1288</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979</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1002</v>
      </c>
      <c r="G301" s="120"/>
      <c r="H301" s="120"/>
      <c r="I301" s="120"/>
      <c r="J301" s="120"/>
      <c r="K301" s="120"/>
      <c r="L301" s="120"/>
      <c r="M301" s="4"/>
      <c r="N301" s="4"/>
      <c r="O301" s="4"/>
      <c r="P301" s="4"/>
      <c r="Q301" s="4"/>
      <c r="R301" s="4"/>
      <c r="S301" s="4"/>
      <c r="T301" s="4"/>
      <c r="U301" s="4"/>
      <c r="V301" s="4"/>
      <c r="W301" s="4"/>
    </row>
    <row r="302" spans="2:23">
      <c r="B302" s="2"/>
      <c r="D302" s="4"/>
      <c r="E302" s="4"/>
      <c r="F302" s="120" t="s">
        <v>1003</v>
      </c>
      <c r="G302" s="120"/>
      <c r="H302" s="120"/>
      <c r="I302" s="120"/>
      <c r="J302" s="120"/>
      <c r="K302" s="120"/>
      <c r="L302" s="120"/>
      <c r="M302" s="4"/>
      <c r="N302" s="4"/>
      <c r="O302" s="4"/>
      <c r="P302" s="4"/>
      <c r="Q302" s="4"/>
      <c r="R302" s="4"/>
      <c r="S302" s="4"/>
      <c r="T302" s="4"/>
      <c r="U302" s="4"/>
      <c r="V302" s="4"/>
      <c r="W302" s="4"/>
    </row>
    <row r="303" spans="2:23">
      <c r="B303" s="2"/>
      <c r="D303" s="4"/>
      <c r="E303" s="4"/>
      <c r="F303" s="120" t="s">
        <v>1004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988</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1289</v>
      </c>
      <c r="I328" s="120"/>
      <c r="J328" s="4"/>
      <c r="K328" s="4"/>
      <c r="L328" s="4"/>
      <c r="M328" s="4"/>
      <c r="N328" s="4"/>
      <c r="O328" s="4"/>
      <c r="P328" s="4"/>
      <c r="Q328" s="4"/>
      <c r="R328" s="4"/>
      <c r="S328" s="4"/>
    </row>
    <row r="329" spans="1:38">
      <c r="F329" s="120" t="s">
        <v>1290</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1" t="s">
        <v>1293</v>
      </c>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c r="B339" s="2"/>
      <c r="E339" s="4"/>
      <c r="F339" s="1261"/>
      <c r="G339" s="1261"/>
      <c r="H339" s="1261"/>
      <c r="I339" s="1261"/>
      <c r="J339" s="1261"/>
      <c r="K339" s="1261"/>
      <c r="L339" s="1261"/>
      <c r="M339" s="1261"/>
      <c r="N339" s="1261"/>
      <c r="O339" s="1261"/>
      <c r="P339" s="1261"/>
      <c r="Q339" s="1261"/>
      <c r="R339" s="1261"/>
      <c r="S339" s="1261"/>
      <c r="T339" s="1261"/>
      <c r="U339" s="1261"/>
      <c r="V339" s="1261"/>
      <c r="W339" s="1261"/>
      <c r="X339" s="1261"/>
      <c r="Y339" s="1261"/>
      <c r="Z339" s="1261"/>
      <c r="AA339" s="1261"/>
      <c r="AB339" s="1261"/>
      <c r="AC339" s="1261"/>
      <c r="AD339" s="1261"/>
      <c r="AE339" s="1261"/>
      <c r="AF339" s="1261"/>
      <c r="AG339" s="1261"/>
      <c r="AH339" s="1261"/>
      <c r="AI339" s="1261"/>
      <c r="AJ339" s="1261"/>
      <c r="AK339" s="1261"/>
    </row>
    <row r="340" spans="2:37">
      <c r="B340" s="2"/>
      <c r="E340" s="4"/>
      <c r="F340" s="1261"/>
      <c r="G340" s="1261"/>
      <c r="H340" s="1261"/>
      <c r="I340" s="1261"/>
      <c r="J340" s="1261"/>
      <c r="K340" s="1261"/>
      <c r="L340" s="1261"/>
      <c r="M340" s="1261"/>
      <c r="N340" s="1261"/>
      <c r="O340" s="1261"/>
      <c r="P340" s="1261"/>
      <c r="Q340" s="1261"/>
      <c r="R340" s="1261"/>
      <c r="S340" s="1261"/>
      <c r="T340" s="1261"/>
      <c r="U340" s="1261"/>
      <c r="V340" s="1261"/>
      <c r="W340" s="1261"/>
      <c r="X340" s="1261"/>
      <c r="Y340" s="1261"/>
      <c r="Z340" s="1261"/>
      <c r="AA340" s="1261"/>
      <c r="AB340" s="1261"/>
      <c r="AC340" s="1261"/>
      <c r="AD340" s="1261"/>
      <c r="AE340" s="1261"/>
      <c r="AF340" s="1261"/>
      <c r="AG340" s="1261"/>
      <c r="AH340" s="1261"/>
      <c r="AI340" s="1261"/>
      <c r="AJ340" s="1261"/>
      <c r="AK340" s="1261"/>
    </row>
    <row r="341" spans="2:37">
      <c r="B341" s="2"/>
      <c r="F341" s="4"/>
      <c r="H341" s="4"/>
      <c r="I341" s="4"/>
      <c r="J341" s="4"/>
      <c r="K341" s="4"/>
      <c r="L341" s="4"/>
      <c r="M341" s="4"/>
      <c r="N341" s="4"/>
      <c r="O341" s="4"/>
      <c r="P341" s="4"/>
      <c r="Q341" s="4"/>
      <c r="R341" s="4"/>
      <c r="S341" s="4"/>
    </row>
    <row r="342" spans="2:37">
      <c r="B342" s="2"/>
      <c r="C342" s="2" t="s">
        <v>433</v>
      </c>
      <c r="G342" s="2" t="s">
        <v>1374</v>
      </c>
      <c r="I342" s="2"/>
      <c r="J342" s="4"/>
      <c r="K342" s="4"/>
      <c r="L342" s="4"/>
      <c r="M342" s="4"/>
      <c r="N342" s="4"/>
      <c r="O342" s="4"/>
      <c r="P342" s="4"/>
      <c r="Q342" s="4"/>
      <c r="R342" s="4"/>
      <c r="S342" s="4"/>
    </row>
    <row r="343" spans="2:37" ht="13.2" customHeight="1">
      <c r="B343" s="2"/>
      <c r="E343" s="1266" t="s">
        <v>1381</v>
      </c>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1266"/>
      <c r="F346" s="1266"/>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1266"/>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t="s">
        <v>113</v>
      </c>
      <c r="F348" s="1261" t="s">
        <v>1383</v>
      </c>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c r="B350" s="2"/>
      <c r="E350" s="3"/>
      <c r="F350" s="1261"/>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c r="B351" s="2"/>
      <c r="E351" s="3"/>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c r="B352" s="2"/>
      <c r="E352" s="3" t="s">
        <v>114</v>
      </c>
      <c r="F352" s="1261" t="s">
        <v>1382</v>
      </c>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c r="B353" s="2"/>
      <c r="F353" s="1261"/>
      <c r="G353" s="1261"/>
      <c r="H353" s="1261"/>
      <c r="I353" s="1261"/>
      <c r="J353" s="1261"/>
      <c r="K353" s="1261"/>
      <c r="L353" s="1261"/>
      <c r="M353" s="1261"/>
      <c r="N353" s="1261"/>
      <c r="O353" s="1261"/>
      <c r="P353" s="1261"/>
      <c r="Q353" s="1261"/>
      <c r="R353" s="1261"/>
      <c r="S353" s="1261"/>
      <c r="T353" s="1261"/>
      <c r="U353" s="1261"/>
      <c r="V353" s="1261"/>
      <c r="W353" s="1261"/>
      <c r="X353" s="1261"/>
      <c r="Y353" s="1261"/>
      <c r="Z353" s="1261"/>
      <c r="AA353" s="1261"/>
      <c r="AB353" s="1261"/>
      <c r="AC353" s="1261"/>
      <c r="AD353" s="1261"/>
      <c r="AE353" s="1261"/>
      <c r="AF353" s="1261"/>
      <c r="AG353" s="1261"/>
      <c r="AH353" s="1261"/>
      <c r="AI353" s="1261"/>
      <c r="AJ353" s="1261"/>
      <c r="AK353" s="1261"/>
    </row>
    <row r="354" spans="1:38">
      <c r="B354" s="2"/>
      <c r="F354" s="1261"/>
      <c r="G354" s="1261"/>
      <c r="H354" s="1261"/>
      <c r="I354" s="1261"/>
      <c r="J354" s="1261"/>
      <c r="K354" s="1261"/>
      <c r="L354" s="1261"/>
      <c r="M354" s="1261"/>
      <c r="N354" s="1261"/>
      <c r="O354" s="1261"/>
      <c r="P354" s="1261"/>
      <c r="Q354" s="1261"/>
      <c r="R354" s="1261"/>
      <c r="S354" s="1261"/>
      <c r="T354" s="1261"/>
      <c r="U354" s="1261"/>
      <c r="V354" s="1261"/>
      <c r="W354" s="1261"/>
      <c r="X354" s="1261"/>
      <c r="Y354" s="1261"/>
      <c r="Z354" s="1261"/>
      <c r="AA354" s="1261"/>
      <c r="AB354" s="1261"/>
      <c r="AC354" s="1261"/>
      <c r="AD354" s="1261"/>
      <c r="AE354" s="1261"/>
      <c r="AF354" s="1261"/>
      <c r="AG354" s="1261"/>
      <c r="AH354" s="1261"/>
      <c r="AI354" s="1261"/>
      <c r="AJ354" s="1261"/>
      <c r="AK354" s="1261"/>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2" customHeight="1">
      <c r="B358" s="2"/>
      <c r="C358" s="11" t="s">
        <v>1361</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2"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9" t="s">
        <v>1372</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0" customFormat="1">
      <c r="A369"/>
      <c r="B369" s="2"/>
      <c r="C369"/>
      <c r="D369"/>
      <c r="E369" s="1267" t="s">
        <v>1415</v>
      </c>
    </row>
    <row r="370" spans="1:37" s="1270"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1291</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1416</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1294</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1417</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1291</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1" t="s">
        <v>1426</v>
      </c>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c r="B389" s="2"/>
      <c r="E389" s="3"/>
      <c r="F389" s="1261"/>
      <c r="G389" s="1261"/>
      <c r="H389" s="1261"/>
      <c r="I389" s="1261"/>
      <c r="J389" s="1261"/>
      <c r="K389" s="1261"/>
      <c r="L389" s="1261"/>
      <c r="M389" s="1261"/>
      <c r="N389" s="1261"/>
      <c r="O389" s="1261"/>
      <c r="P389" s="1261"/>
      <c r="Q389" s="1261"/>
      <c r="R389" s="1261"/>
      <c r="S389" s="1261"/>
      <c r="T389" s="1261"/>
      <c r="U389" s="1261"/>
      <c r="V389" s="1261"/>
      <c r="W389" s="1261"/>
      <c r="X389" s="1261"/>
      <c r="Y389" s="1261"/>
      <c r="Z389" s="1261"/>
      <c r="AA389" s="1261"/>
      <c r="AB389" s="1261"/>
      <c r="AC389" s="1261"/>
      <c r="AD389" s="1261"/>
      <c r="AE389" s="1261"/>
      <c r="AF389" s="1261"/>
      <c r="AG389" s="1261"/>
      <c r="AH389" s="1261"/>
      <c r="AI389" s="1261"/>
      <c r="AJ389" s="1261"/>
      <c r="AK389" s="1261"/>
    </row>
    <row r="390" spans="1:38">
      <c r="B390" s="2"/>
      <c r="E390" s="3"/>
      <c r="F390" s="1261"/>
      <c r="G390" s="1261"/>
      <c r="H390" s="1261"/>
      <c r="I390" s="1261"/>
      <c r="J390" s="1261"/>
      <c r="K390" s="1261"/>
      <c r="L390" s="1261"/>
      <c r="M390" s="1261"/>
      <c r="N390" s="1261"/>
      <c r="O390" s="1261"/>
      <c r="P390" s="1261"/>
      <c r="Q390" s="1261"/>
      <c r="R390" s="1261"/>
      <c r="S390" s="1261"/>
      <c r="T390" s="1261"/>
      <c r="U390" s="1261"/>
      <c r="V390" s="1261"/>
      <c r="W390" s="1261"/>
      <c r="X390" s="1261"/>
      <c r="Y390" s="1261"/>
      <c r="Z390" s="1261"/>
      <c r="AA390" s="1261"/>
      <c r="AB390" s="1261"/>
      <c r="AC390" s="1261"/>
      <c r="AD390" s="1261"/>
      <c r="AE390" s="1261"/>
      <c r="AF390" s="1261"/>
      <c r="AG390" s="1261"/>
      <c r="AH390" s="1261"/>
      <c r="AI390" s="1261"/>
      <c r="AJ390" s="1261"/>
      <c r="AK390" s="1261"/>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1432</v>
      </c>
      <c r="F392" s="3"/>
      <c r="G392" s="2"/>
      <c r="I392" s="120"/>
      <c r="J392" s="3"/>
      <c r="K392" s="3"/>
      <c r="L392" s="3"/>
      <c r="M392" s="3"/>
      <c r="N392" s="3"/>
      <c r="O392" s="3"/>
      <c r="P392" s="3"/>
      <c r="Q392" s="3"/>
      <c r="R392" s="3"/>
      <c r="S392" s="3"/>
    </row>
    <row r="393" spans="1:38" ht="13.2" customHeight="1">
      <c r="B393" s="2"/>
      <c r="D393" s="2"/>
      <c r="E393" s="3" t="s">
        <v>1431</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1294</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6640625" defaultRowHeight="15.75" customHeight="1"/>
  <cols>
    <col min="1" max="37" width="2.6640625" style="1204"/>
    <col min="38" max="38" width="3" style="1204" customWidth="1"/>
    <col min="39" max="64" width="2.6640625" style="1204"/>
    <col min="65" max="65" width="10.44140625" style="1204" hidden="1" customWidth="1"/>
    <col min="66" max="70" width="5.5546875" style="1204" bestFit="1" customWidth="1"/>
    <col min="71" max="71" width="6.109375" style="1204" bestFit="1" customWidth="1"/>
    <col min="72" max="76" width="5.5546875" style="1204" bestFit="1" customWidth="1"/>
    <col min="77" max="77" width="6.109375" style="1204" bestFit="1" customWidth="1"/>
    <col min="78" max="78" width="5.5546875" style="1204" bestFit="1" customWidth="1"/>
    <col min="79" max="16384" width="2.6640625" style="1204"/>
  </cols>
  <sheetData>
    <row r="1" spans="1:65" ht="15.75" customHeight="1">
      <c r="A1" s="2153" t="s">
        <v>2513</v>
      </c>
      <c r="B1" s="2154"/>
      <c r="C1" s="2154"/>
      <c r="D1" s="2154"/>
      <c r="E1" s="2154"/>
      <c r="F1" s="2154"/>
      <c r="G1" s="2154"/>
      <c r="H1" s="2154"/>
      <c r="I1" s="2154"/>
      <c r="J1" s="2154"/>
      <c r="K1" s="2154"/>
      <c r="L1" s="2154"/>
      <c r="M1" s="2154"/>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c r="AL1" s="2154"/>
      <c r="AM1" s="2154"/>
      <c r="AN1" s="2154"/>
      <c r="AO1" s="2154"/>
      <c r="AP1" s="2154"/>
      <c r="AQ1" s="2154"/>
      <c r="AR1" s="2154"/>
      <c r="AS1" s="2154"/>
      <c r="AT1" s="2154"/>
      <c r="AU1" s="2154"/>
      <c r="AV1" s="2154"/>
      <c r="AW1" s="2154"/>
      <c r="AX1" s="2154"/>
      <c r="AY1" s="2154"/>
      <c r="AZ1" s="2154"/>
      <c r="BA1" s="2154"/>
      <c r="BB1" s="2154"/>
      <c r="BC1" s="2154"/>
      <c r="BD1" s="2154"/>
      <c r="BE1" s="2155"/>
    </row>
    <row r="2" spans="1:65" ht="15.75" customHeight="1">
      <c r="A2" s="2156" t="s">
        <v>2561</v>
      </c>
      <c r="B2" s="2157"/>
      <c r="C2" s="2157"/>
      <c r="D2" s="2157"/>
      <c r="E2" s="2157"/>
      <c r="F2" s="2157"/>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2157"/>
      <c r="AZ2" s="2157"/>
      <c r="BA2" s="2157"/>
      <c r="BB2" s="2157"/>
      <c r="BC2" s="2157"/>
      <c r="BD2" s="2157"/>
      <c r="BE2" s="2158"/>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145" t="str">
        <f>IF(Application!H18="","",Application!H18)</f>
        <v xml:space="preserve">OTC by Vintage </v>
      </c>
      <c r="M4" s="2146"/>
      <c r="N4" s="2146"/>
      <c r="O4" s="2146"/>
      <c r="P4" s="2146"/>
      <c r="Q4" s="2146"/>
      <c r="R4" s="2146"/>
      <c r="S4" s="2146"/>
      <c r="T4" s="2146"/>
      <c r="U4" s="2146"/>
      <c r="V4" s="2146"/>
      <c r="W4" s="2146"/>
      <c r="X4" s="2146"/>
      <c r="Y4" s="2146"/>
      <c r="Z4" s="2146"/>
      <c r="AA4" s="2146"/>
      <c r="AB4" s="2146"/>
      <c r="AC4" s="2147"/>
      <c r="AD4" s="1207"/>
      <c r="AE4" s="1207"/>
      <c r="AF4" s="2159" t="s">
        <v>2562</v>
      </c>
      <c r="AG4" s="2159"/>
      <c r="AH4" s="2159"/>
      <c r="AI4" s="2159"/>
      <c r="AJ4" s="2159"/>
      <c r="AK4" s="2159"/>
      <c r="AL4" s="2159"/>
      <c r="AM4" s="2159"/>
      <c r="AN4" s="2159"/>
      <c r="AO4" s="2159"/>
      <c r="AP4" s="2160"/>
      <c r="AQ4" s="2161"/>
      <c r="AR4" s="2161"/>
      <c r="AS4" s="2161"/>
      <c r="AT4" s="2161"/>
      <c r="AU4" s="2161"/>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59" t="s">
        <v>2563</v>
      </c>
      <c r="AG5" s="2159"/>
      <c r="AH5" s="2159"/>
      <c r="AI5" s="2159"/>
      <c r="AJ5" s="2159"/>
      <c r="AK5" s="2159"/>
      <c r="AL5" s="2159"/>
      <c r="AM5" s="2159"/>
      <c r="AN5" s="2159"/>
      <c r="AO5" s="2159"/>
      <c r="AP5" s="2160"/>
      <c r="AQ5" s="2161"/>
      <c r="AR5" s="2161"/>
      <c r="AS5" s="2161"/>
      <c r="AT5" s="2161"/>
      <c r="AU5" s="2161"/>
      <c r="AV5" s="1207"/>
      <c r="AW5" s="1207"/>
      <c r="AX5" s="1207"/>
      <c r="AY5" s="1207"/>
      <c r="AZ5" s="1207"/>
      <c r="BA5" s="1207"/>
      <c r="BB5" s="1207"/>
      <c r="BC5" s="1207"/>
      <c r="BD5" s="1207"/>
      <c r="BE5" s="1208"/>
    </row>
    <row r="6" spans="1:65" ht="15.75" customHeight="1" thickBot="1">
      <c r="A6" s="1206"/>
      <c r="B6" s="1209" t="s">
        <v>1856</v>
      </c>
      <c r="C6" s="1207"/>
      <c r="D6" s="1207"/>
      <c r="E6" s="1207"/>
      <c r="F6" s="1207"/>
      <c r="G6" s="1207"/>
      <c r="H6" s="1207"/>
      <c r="I6" s="1207"/>
      <c r="J6" s="1207"/>
      <c r="K6" s="1207"/>
      <c r="L6" s="2145" t="str">
        <f>IF(Application!H16="","",Application!H16)</f>
        <v xml:space="preserve">Vintage Housing Holdings, LLC </v>
      </c>
      <c r="M6" s="2146"/>
      <c r="N6" s="2146"/>
      <c r="O6" s="2146"/>
      <c r="P6" s="2146"/>
      <c r="Q6" s="2146"/>
      <c r="R6" s="2146"/>
      <c r="S6" s="2146"/>
      <c r="T6" s="2146"/>
      <c r="U6" s="2146"/>
      <c r="V6" s="2146"/>
      <c r="W6" s="2146"/>
      <c r="X6" s="2146"/>
      <c r="Y6" s="2146"/>
      <c r="Z6" s="2146"/>
      <c r="AA6" s="2146"/>
      <c r="AB6" s="2146"/>
      <c r="AC6" s="2147"/>
      <c r="AD6" s="1207"/>
      <c r="AE6" s="1207"/>
      <c r="AF6" s="2148" t="s">
        <v>2564</v>
      </c>
      <c r="AG6" s="2148"/>
      <c r="AH6" s="2148"/>
      <c r="AI6" s="2148"/>
      <c r="AJ6" s="2148"/>
      <c r="AK6" s="2148"/>
      <c r="AL6" s="2148"/>
      <c r="AM6" s="2148"/>
      <c r="AN6" s="2148"/>
      <c r="AO6" s="2148"/>
      <c r="AP6" s="2149">
        <v>0</v>
      </c>
      <c r="AQ6" s="2149"/>
      <c r="AR6" s="2149"/>
      <c r="AS6" s="2149"/>
      <c r="AT6" s="2149"/>
      <c r="AU6" s="2149"/>
      <c r="AV6" s="1207"/>
      <c r="AW6" s="1207"/>
      <c r="AX6" s="1207"/>
      <c r="AY6" s="1207"/>
      <c r="AZ6" s="1207"/>
      <c r="BA6" s="1207"/>
      <c r="BB6" s="1207"/>
      <c r="BC6" s="1207"/>
      <c r="BD6" s="1207"/>
      <c r="BE6" s="1208"/>
    </row>
    <row r="7" spans="1:65" ht="1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48" t="s">
        <v>2565</v>
      </c>
      <c r="AG7" s="2148"/>
      <c r="AH7" s="2148"/>
      <c r="AI7" s="2148"/>
      <c r="AJ7" s="2148"/>
      <c r="AK7" s="2148"/>
      <c r="AL7" s="2148"/>
      <c r="AM7" s="2148"/>
      <c r="AN7" s="2148"/>
      <c r="AO7" s="2148"/>
      <c r="AP7" s="2149">
        <v>0</v>
      </c>
      <c r="AQ7" s="2149"/>
      <c r="AR7" s="2149"/>
      <c r="AS7" s="2149"/>
      <c r="AT7" s="2149"/>
      <c r="AU7" s="2149"/>
      <c r="AV7" s="1207"/>
      <c r="AW7" s="1207"/>
      <c r="AX7" s="1207"/>
      <c r="AY7" s="1207"/>
      <c r="AZ7" s="1207"/>
      <c r="BA7" s="1207"/>
      <c r="BB7" s="1207"/>
      <c r="BC7" s="1207"/>
      <c r="BD7" s="1207"/>
      <c r="BE7" s="1208"/>
    </row>
    <row r="8" spans="1:65" ht="15" thickBot="1">
      <c r="A8" s="1206"/>
      <c r="B8" s="1209" t="s">
        <v>1857</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50" t="str">
        <f>Application!T196</f>
        <v>No</v>
      </c>
      <c r="AC8" s="2151"/>
      <c r="AD8" s="2152"/>
      <c r="AE8" s="1207"/>
      <c r="AF8" s="2148" t="s">
        <v>2566</v>
      </c>
      <c r="AG8" s="2148"/>
      <c r="AH8" s="2148"/>
      <c r="AI8" s="2148"/>
      <c r="AJ8" s="2148"/>
      <c r="AK8" s="2148"/>
      <c r="AL8" s="2148"/>
      <c r="AM8" s="2148"/>
      <c r="AN8" s="2148"/>
      <c r="AO8" s="2148"/>
      <c r="AP8" s="2149" t="s">
        <v>2518</v>
      </c>
      <c r="AQ8" s="2149"/>
      <c r="AR8" s="2149"/>
      <c r="AS8" s="2149"/>
      <c r="AT8" s="2149"/>
      <c r="AU8" s="2149"/>
      <c r="AV8" s="1207"/>
      <c r="AW8" s="1207"/>
      <c r="AX8" s="1207"/>
      <c r="AY8" s="1207"/>
      <c r="AZ8" s="1207"/>
      <c r="BA8" s="1207"/>
      <c r="BB8" s="1207"/>
      <c r="BC8" s="1207"/>
      <c r="BD8" s="1207"/>
      <c r="BE8" s="1208"/>
      <c r="BM8" s="1204" t="s">
        <v>2373</v>
      </c>
    </row>
    <row r="9" spans="1:65" ht="14.4">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2567</v>
      </c>
    </row>
    <row r="10" spans="1:65" ht="14.4">
      <c r="A10" s="1206"/>
      <c r="B10" s="1209" t="s">
        <v>1858</v>
      </c>
      <c r="C10" s="1209"/>
      <c r="D10" s="1209"/>
      <c r="E10" s="1209"/>
      <c r="F10" s="1209"/>
      <c r="G10" s="1209"/>
      <c r="H10" s="1209"/>
      <c r="I10" s="1209"/>
      <c r="J10" s="1209"/>
      <c r="K10" s="1209"/>
      <c r="L10" s="1209"/>
      <c r="M10" s="1207"/>
      <c r="N10" s="2176">
        <f>Application!AO623</f>
        <v>40559667</v>
      </c>
      <c r="O10" s="2176"/>
      <c r="P10" s="2176"/>
      <c r="Q10" s="2176"/>
      <c r="R10" s="2176"/>
      <c r="S10" s="2176"/>
      <c r="T10" s="2176"/>
      <c r="U10" s="1207"/>
      <c r="V10" s="1207"/>
      <c r="W10" s="1207"/>
      <c r="X10" s="2162" t="s">
        <v>2568</v>
      </c>
      <c r="Y10" s="2162"/>
      <c r="Z10" s="2162"/>
      <c r="AA10" s="2162"/>
      <c r="AB10" s="2162"/>
      <c r="AC10" s="2162"/>
      <c r="AD10" s="2162"/>
      <c r="AE10" s="2162"/>
      <c r="AF10" s="2162"/>
      <c r="AG10" s="2162"/>
      <c r="AH10" s="2162"/>
      <c r="AI10" s="2162"/>
      <c r="AJ10" s="2162"/>
      <c r="AK10" s="2162"/>
      <c r="AL10" s="2177">
        <f>Application!W471</f>
        <v>0</v>
      </c>
      <c r="AM10" s="2178"/>
      <c r="AN10" s="2178"/>
      <c r="AO10" s="2178"/>
      <c r="AP10" s="2178"/>
      <c r="AQ10" s="1210"/>
      <c r="AR10" s="1210"/>
      <c r="AS10" s="1210"/>
      <c r="AT10" s="1210"/>
      <c r="AU10" s="1210"/>
      <c r="AV10" s="1210"/>
      <c r="AW10" s="1210"/>
      <c r="AX10" s="1207"/>
      <c r="AY10" s="1207"/>
      <c r="AZ10" s="1207"/>
      <c r="BA10" s="1207"/>
      <c r="BB10" s="1207"/>
      <c r="BC10" s="1207"/>
      <c r="BD10" s="1207"/>
      <c r="BE10" s="1208"/>
      <c r="BM10" s="1204" t="s">
        <v>2569</v>
      </c>
    </row>
    <row r="11" spans="1:65" ht="14.4">
      <c r="A11" s="1206"/>
      <c r="B11" s="1209" t="s">
        <v>1859</v>
      </c>
      <c r="C11" s="1209"/>
      <c r="D11" s="1209"/>
      <c r="E11" s="1209"/>
      <c r="F11" s="1209"/>
      <c r="G11" s="1209"/>
      <c r="H11" s="1209"/>
      <c r="I11" s="1209"/>
      <c r="J11" s="1209"/>
      <c r="K11" s="1209"/>
      <c r="L11" s="1209"/>
      <c r="M11" s="1207"/>
      <c r="N11" s="2176">
        <f>Application!AA911</f>
        <v>0</v>
      </c>
      <c r="O11" s="2176"/>
      <c r="P11" s="2176"/>
      <c r="Q11" s="2176"/>
      <c r="R11" s="2176"/>
      <c r="S11" s="2176"/>
      <c r="T11" s="2176"/>
      <c r="U11" s="1207"/>
      <c r="V11" s="1207"/>
      <c r="W11" s="1207"/>
      <c r="X11" s="2179" t="s">
        <v>2570</v>
      </c>
      <c r="Y11" s="2179"/>
      <c r="Z11" s="2179"/>
      <c r="AA11" s="2179"/>
      <c r="AB11" s="2179"/>
      <c r="AC11" s="2179"/>
      <c r="AD11" s="2179"/>
      <c r="AE11" s="2179"/>
      <c r="AF11" s="2179"/>
      <c r="AG11" s="2179"/>
      <c r="AH11" s="2179"/>
      <c r="AI11" s="2179"/>
      <c r="AJ11" s="2179"/>
      <c r="AK11" s="2179"/>
      <c r="AL11" s="2163"/>
      <c r="AM11" s="2164"/>
      <c r="AN11" s="2164"/>
      <c r="AO11" s="2164"/>
      <c r="AP11" s="2164"/>
      <c r="AQ11" s="1211"/>
      <c r="AR11" s="1212"/>
      <c r="AS11" s="1210"/>
      <c r="AT11" s="1210"/>
      <c r="AU11" s="1210"/>
      <c r="AV11" s="1210"/>
      <c r="AW11" s="1210"/>
      <c r="AX11" s="1207"/>
      <c r="AY11" s="1207"/>
      <c r="AZ11" s="1207"/>
      <c r="BA11" s="1207"/>
      <c r="BB11" s="1207"/>
      <c r="BC11" s="1207"/>
      <c r="BD11" s="1207"/>
      <c r="BE11" s="1208"/>
      <c r="BM11" s="1204" t="s">
        <v>2518</v>
      </c>
    </row>
    <row r="12" spans="1:65" ht="1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62" t="s">
        <v>2571</v>
      </c>
      <c r="Y12" s="2162"/>
      <c r="Z12" s="2162"/>
      <c r="AA12" s="2162"/>
      <c r="AB12" s="2162"/>
      <c r="AC12" s="2162"/>
      <c r="AD12" s="2162"/>
      <c r="AE12" s="2162"/>
      <c r="AF12" s="2162"/>
      <c r="AG12" s="2162"/>
      <c r="AH12" s="2162"/>
      <c r="AI12" s="2162"/>
      <c r="AJ12" s="2162"/>
      <c r="AK12" s="2162"/>
      <c r="AL12" s="2163"/>
      <c r="AM12" s="2164"/>
      <c r="AN12" s="2164"/>
      <c r="AO12" s="2164"/>
      <c r="AP12" s="2164"/>
      <c r="AQ12" s="1210"/>
      <c r="AR12" s="1210"/>
      <c r="AS12" s="1210"/>
      <c r="AT12" s="1210"/>
      <c r="AU12" s="1210"/>
      <c r="AV12" s="1207"/>
      <c r="AW12" s="1207"/>
      <c r="AX12" s="1207"/>
      <c r="AY12" s="1207"/>
      <c r="AZ12" s="1207"/>
      <c r="BA12" s="1207"/>
      <c r="BB12" s="1207"/>
      <c r="BC12" s="1207"/>
      <c r="BD12" s="1207"/>
      <c r="BE12" s="1213"/>
      <c r="BM12" s="1204" t="s">
        <v>2572</v>
      </c>
    </row>
    <row r="13" spans="1:65" ht="15" thickBot="1">
      <c r="A13" s="1207"/>
      <c r="B13" s="2165" t="s">
        <v>1860</v>
      </c>
      <c r="C13" s="2166"/>
      <c r="D13" s="2166"/>
      <c r="E13" s="2166"/>
      <c r="F13" s="2166"/>
      <c r="G13" s="2166"/>
      <c r="H13" s="2166"/>
      <c r="I13" s="2166"/>
      <c r="J13" s="2166"/>
      <c r="K13" s="2166"/>
      <c r="L13" s="2166"/>
      <c r="M13" s="2166"/>
      <c r="N13" s="2166"/>
      <c r="O13" s="2166"/>
      <c r="P13" s="2167"/>
      <c r="Q13" s="2168" t="s">
        <v>679</v>
      </c>
      <c r="R13" s="2169"/>
      <c r="S13" s="2169"/>
      <c r="T13" s="2170"/>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2573</v>
      </c>
    </row>
    <row r="14" spans="1:65" ht="1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 thickBot="1">
      <c r="A15" s="1207"/>
      <c r="B15" s="2171" t="s">
        <v>1861</v>
      </c>
      <c r="C15" s="2172"/>
      <c r="D15" s="2172"/>
      <c r="E15" s="2172"/>
      <c r="F15" s="2172"/>
      <c r="G15" s="2172"/>
      <c r="H15" s="2172"/>
      <c r="I15" s="2172"/>
      <c r="J15" s="2172"/>
      <c r="K15" s="2172"/>
      <c r="L15" s="2172"/>
      <c r="M15" s="2172"/>
      <c r="N15" s="2172"/>
      <c r="O15" s="2172"/>
      <c r="P15" s="2172"/>
      <c r="Q15" s="2172"/>
      <c r="R15" s="2173"/>
      <c r="S15" s="2174" t="str">
        <f>IF(Application!AB214="","",Application!AB214)</f>
        <v/>
      </c>
      <c r="T15" s="2174"/>
      <c r="U15" s="2174"/>
      <c r="V15" s="2174"/>
      <c r="W15" s="2175"/>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4">
      <c r="A17" s="1207"/>
      <c r="B17" s="2180" t="s">
        <v>1862</v>
      </c>
      <c r="C17" s="2181"/>
      <c r="D17" s="2181"/>
      <c r="E17" s="2181"/>
      <c r="F17" s="2181"/>
      <c r="G17" s="2181"/>
      <c r="H17" s="2181"/>
      <c r="I17" s="2181"/>
      <c r="J17" s="2181"/>
      <c r="K17" s="2181"/>
      <c r="L17" s="2181"/>
      <c r="M17" s="2181"/>
      <c r="N17" s="2181"/>
      <c r="O17" s="2181"/>
      <c r="P17" s="2181"/>
      <c r="Q17" s="2181"/>
      <c r="R17" s="2181"/>
      <c r="S17" s="2181"/>
      <c r="T17" s="2181"/>
      <c r="U17" s="2181"/>
      <c r="V17" s="2181"/>
      <c r="W17" s="2181"/>
      <c r="X17" s="2181"/>
      <c r="Y17" s="2181"/>
      <c r="Z17" s="2181"/>
      <c r="AA17" s="2181"/>
      <c r="AB17" s="2181"/>
      <c r="AC17" s="2181"/>
      <c r="AD17" s="2181"/>
      <c r="AE17" s="2181"/>
      <c r="AF17" s="2181"/>
      <c r="AG17" s="2181"/>
      <c r="AH17" s="2181"/>
      <c r="AI17" s="2181"/>
      <c r="AJ17" s="2181"/>
      <c r="AK17" s="2181"/>
      <c r="AL17" s="2181"/>
      <c r="AM17" s="2181"/>
      <c r="AN17" s="2181"/>
      <c r="AO17" s="2181"/>
      <c r="AP17" s="2181"/>
      <c r="AQ17" s="2181"/>
      <c r="AR17" s="2181"/>
      <c r="AS17" s="2181"/>
      <c r="AT17" s="2181"/>
      <c r="AU17" s="2181"/>
      <c r="AV17" s="2181"/>
      <c r="AW17" s="2181"/>
      <c r="AX17" s="2181"/>
      <c r="AY17" s="2182"/>
      <c r="AZ17" s="1207"/>
      <c r="BA17" s="1207"/>
      <c r="BB17" s="1207"/>
      <c r="BC17" s="1207"/>
      <c r="BD17" s="1207"/>
      <c r="BE17" s="1213"/>
      <c r="BF17" s="1205"/>
    </row>
    <row r="18" spans="1:58" ht="15.75" customHeight="1">
      <c r="A18" s="1207"/>
      <c r="B18" s="2183" t="s">
        <v>1863</v>
      </c>
      <c r="C18" s="2184"/>
      <c r="D18" s="2184"/>
      <c r="E18" s="2184"/>
      <c r="F18" s="2184"/>
      <c r="G18" s="2184"/>
      <c r="H18" s="2184"/>
      <c r="I18" s="2185"/>
      <c r="J18" s="2186" t="s">
        <v>1762</v>
      </c>
      <c r="K18" s="2187"/>
      <c r="L18" s="2187"/>
      <c r="M18" s="2187"/>
      <c r="N18" s="2187"/>
      <c r="O18" s="2188"/>
      <c r="P18" s="2186" t="s">
        <v>326</v>
      </c>
      <c r="Q18" s="2187"/>
      <c r="R18" s="2187"/>
      <c r="S18" s="2187"/>
      <c r="T18" s="2187"/>
      <c r="U18" s="2188"/>
      <c r="V18" s="2186" t="s">
        <v>327</v>
      </c>
      <c r="W18" s="2187"/>
      <c r="X18" s="2187"/>
      <c r="Y18" s="2187"/>
      <c r="Z18" s="2187"/>
      <c r="AA18" s="2188"/>
      <c r="AB18" s="2186" t="s">
        <v>164</v>
      </c>
      <c r="AC18" s="2187"/>
      <c r="AD18" s="2187"/>
      <c r="AE18" s="2187"/>
      <c r="AF18" s="2187"/>
      <c r="AG18" s="2188"/>
      <c r="AH18" s="2186" t="s">
        <v>165</v>
      </c>
      <c r="AI18" s="2187"/>
      <c r="AJ18" s="2187"/>
      <c r="AK18" s="2187"/>
      <c r="AL18" s="2187"/>
      <c r="AM18" s="2188"/>
      <c r="AN18" s="2186" t="s">
        <v>166</v>
      </c>
      <c r="AO18" s="2187"/>
      <c r="AP18" s="2187"/>
      <c r="AQ18" s="2187"/>
      <c r="AR18" s="2187"/>
      <c r="AS18" s="2188"/>
      <c r="AT18" s="2186" t="s">
        <v>1864</v>
      </c>
      <c r="AU18" s="2187"/>
      <c r="AV18" s="2187"/>
      <c r="AW18" s="2187"/>
      <c r="AX18" s="2187"/>
      <c r="AY18" s="2189"/>
      <c r="AZ18" s="1207"/>
      <c r="BA18" s="1207"/>
      <c r="BB18" s="1207"/>
      <c r="BC18" s="1207"/>
      <c r="BD18" s="1207"/>
      <c r="BE18" s="1213"/>
    </row>
    <row r="19" spans="1:58" ht="14.4">
      <c r="A19" s="1207"/>
      <c r="B19" s="2196">
        <v>0.3</v>
      </c>
      <c r="C19" s="2197"/>
      <c r="D19" s="2197"/>
      <c r="E19" s="2197"/>
      <c r="F19" s="2197"/>
      <c r="G19" s="2197"/>
      <c r="H19" s="2197"/>
      <c r="I19" s="2198"/>
      <c r="J19" s="2190">
        <f>SUM(P19:AS19)</f>
        <v>24</v>
      </c>
      <c r="K19" s="2191"/>
      <c r="L19" s="2191"/>
      <c r="M19" s="2191"/>
      <c r="N19" s="2191"/>
      <c r="O19" s="2192"/>
      <c r="P19" s="2190" cm="1">
        <f t="array" ref="P19">SUMPRODUCT((Application!$B$714:$B$738 = 'CalHFA Addendum'!P$18)*(Application!$AC$714:$AC$738 = 'CalHFA Addendum'!$B19),Application!$G$714:$G$738)</f>
        <v>0</v>
      </c>
      <c r="Q19" s="2191"/>
      <c r="R19" s="2191"/>
      <c r="S19" s="2191"/>
      <c r="T19" s="2191"/>
      <c r="U19" s="2192"/>
      <c r="V19" s="2190" cm="1">
        <f t="array" ref="V19">SUMPRODUCT((Application!$B$714:$B$738 = 'CalHFA Addendum'!V$18)*(Application!$AC$714:$AC$738 = 'CalHFA Addendum'!$B19),Application!$G$714:$G$738)</f>
        <v>11</v>
      </c>
      <c r="W19" s="2191"/>
      <c r="X19" s="2191"/>
      <c r="Y19" s="2191"/>
      <c r="Z19" s="2191"/>
      <c r="AA19" s="2192"/>
      <c r="AB19" s="2190" cm="1">
        <f t="array" ref="AB19">SUMPRODUCT((Application!$B$714:$B$738 = 'CalHFA Addendum'!AB$18)*(Application!$AC$714:$AC$738 = 'CalHFA Addendum'!$B19),Application!$G$714:$G$738)</f>
        <v>7</v>
      </c>
      <c r="AC19" s="2191"/>
      <c r="AD19" s="2191"/>
      <c r="AE19" s="2191"/>
      <c r="AF19" s="2191"/>
      <c r="AG19" s="2192"/>
      <c r="AH19" s="2190" cm="1">
        <f t="array" ref="AH19">SUMPRODUCT((Application!$B$714:$B$738 = 'CalHFA Addendum'!AH$18)*(Application!$AC$714:$AC$738 = 'CalHFA Addendum'!$B19),Application!$G$714:$G$738)</f>
        <v>6</v>
      </c>
      <c r="AI19" s="2191"/>
      <c r="AJ19" s="2191"/>
      <c r="AK19" s="2191"/>
      <c r="AL19" s="2191"/>
      <c r="AM19" s="2192"/>
      <c r="AN19" s="2190" cm="1">
        <f t="array" ref="AN19">SUMPRODUCT((Application!$B$714:$B$738 = 'CalHFA Addendum'!AN$18)*(Application!$AC$714:$AC$738 = 'CalHFA Addendum'!$B19),Application!$G$714:$G$738)</f>
        <v>0</v>
      </c>
      <c r="AO19" s="2191"/>
      <c r="AP19" s="2191"/>
      <c r="AQ19" s="2191"/>
      <c r="AR19" s="2191"/>
      <c r="AS19" s="2192"/>
      <c r="AT19" s="2193">
        <f t="shared" ref="AT19:AT28" si="0">J19/$J$29</f>
        <v>0.10526315789473684</v>
      </c>
      <c r="AU19" s="2194"/>
      <c r="AV19" s="2194"/>
      <c r="AW19" s="2194"/>
      <c r="AX19" s="2194"/>
      <c r="AY19" s="2195"/>
      <c r="AZ19" s="1214"/>
      <c r="BA19" s="1207"/>
      <c r="BB19" s="1207"/>
      <c r="BC19" s="1207"/>
      <c r="BD19" s="1207"/>
      <c r="BE19" s="1213"/>
    </row>
    <row r="20" spans="1:58" ht="15" customHeight="1">
      <c r="A20" s="1207"/>
      <c r="B20" s="2196">
        <v>0.4</v>
      </c>
      <c r="C20" s="2197"/>
      <c r="D20" s="2197"/>
      <c r="E20" s="2197"/>
      <c r="F20" s="2197"/>
      <c r="G20" s="2197"/>
      <c r="H20" s="2197"/>
      <c r="I20" s="2198"/>
      <c r="J20" s="2190">
        <f t="shared" ref="J20:J28" si="1">SUM(P20:AS20)</f>
        <v>0</v>
      </c>
      <c r="K20" s="2191"/>
      <c r="L20" s="2191"/>
      <c r="M20" s="2191"/>
      <c r="N20" s="2191"/>
      <c r="O20" s="2192"/>
      <c r="P20" s="2190" cm="1">
        <f t="array" ref="P20">SUMPRODUCT((Application!$B$714:$B$738 = 'CalHFA Addendum'!P$18)*(Application!$AC$714:$AC$738 = 'CalHFA Addendum'!$B20),Application!$G$714:$G$738)</f>
        <v>0</v>
      </c>
      <c r="Q20" s="2191"/>
      <c r="R20" s="2191"/>
      <c r="S20" s="2191"/>
      <c r="T20" s="2191"/>
      <c r="U20" s="2192"/>
      <c r="V20" s="2190" cm="1">
        <f t="array" ref="V20">SUMPRODUCT((Application!$B$714:$B$738 = 'CalHFA Addendum'!V$18)*(Application!$AC$714:$AC$738 = 'CalHFA Addendum'!$B20),Application!$G$714:$G$738)</f>
        <v>0</v>
      </c>
      <c r="W20" s="2191"/>
      <c r="X20" s="2191"/>
      <c r="Y20" s="2191"/>
      <c r="Z20" s="2191"/>
      <c r="AA20" s="2192"/>
      <c r="AB20" s="2190" cm="1">
        <f t="array" ref="AB20">SUMPRODUCT((Application!$B$714:$B$738 = 'CalHFA Addendum'!AB$18)*(Application!$AC$714:$AC$738 = 'CalHFA Addendum'!$B20),Application!$G$714:$G$738)</f>
        <v>0</v>
      </c>
      <c r="AC20" s="2191"/>
      <c r="AD20" s="2191"/>
      <c r="AE20" s="2191"/>
      <c r="AF20" s="2191"/>
      <c r="AG20" s="2192"/>
      <c r="AH20" s="2190" cm="1">
        <f t="array" ref="AH20">SUMPRODUCT((Application!$B$714:$B$738 = 'CalHFA Addendum'!AH$18)*(Application!$AC$714:$AC$738 = 'CalHFA Addendum'!$B20),Application!$G$714:$G$738)</f>
        <v>0</v>
      </c>
      <c r="AI20" s="2191"/>
      <c r="AJ20" s="2191"/>
      <c r="AK20" s="2191"/>
      <c r="AL20" s="2191"/>
      <c r="AM20" s="2192"/>
      <c r="AN20" s="2190" cm="1">
        <f t="array" ref="AN20">SUMPRODUCT((Application!$B$714:$B$738 = 'CalHFA Addendum'!AN$18)*(Application!$AC$714:$AC$738 = 'CalHFA Addendum'!$B20),Application!$G$714:$G$738)</f>
        <v>0</v>
      </c>
      <c r="AO20" s="2191"/>
      <c r="AP20" s="2191"/>
      <c r="AQ20" s="2191"/>
      <c r="AR20" s="2191"/>
      <c r="AS20" s="2192"/>
      <c r="AT20" s="2193">
        <f t="shared" si="0"/>
        <v>0</v>
      </c>
      <c r="AU20" s="2194"/>
      <c r="AV20" s="2194"/>
      <c r="AW20" s="2194"/>
      <c r="AX20" s="2194"/>
      <c r="AY20" s="2195"/>
      <c r="AZ20" s="1207"/>
      <c r="BA20" s="1207"/>
      <c r="BB20" s="1207"/>
      <c r="BC20" s="1207"/>
      <c r="BD20" s="1207"/>
      <c r="BE20" s="1213"/>
    </row>
    <row r="21" spans="1:58" ht="14.4">
      <c r="A21" s="1207"/>
      <c r="B21" s="2196">
        <v>0.5</v>
      </c>
      <c r="C21" s="2197"/>
      <c r="D21" s="2197"/>
      <c r="E21" s="2197"/>
      <c r="F21" s="2197"/>
      <c r="G21" s="2197"/>
      <c r="H21" s="2197"/>
      <c r="I21" s="2198"/>
      <c r="J21" s="2190">
        <f t="shared" si="1"/>
        <v>24</v>
      </c>
      <c r="K21" s="2191"/>
      <c r="L21" s="2191"/>
      <c r="M21" s="2191"/>
      <c r="N21" s="2191"/>
      <c r="O21" s="2192"/>
      <c r="P21" s="2190" cm="1">
        <f t="array" ref="P21">SUMPRODUCT((Application!$B$714:$B$738 = 'CalHFA Addendum'!P$18)*(Application!$AC$714:$AC$738 = 'CalHFA Addendum'!$B21),Application!$G$714:$G$738)</f>
        <v>0</v>
      </c>
      <c r="Q21" s="2191"/>
      <c r="R21" s="2191"/>
      <c r="S21" s="2191"/>
      <c r="T21" s="2191"/>
      <c r="U21" s="2192"/>
      <c r="V21" s="2190" cm="1">
        <f t="array" ref="V21">SUMPRODUCT((Application!$B$714:$B$738 = 'CalHFA Addendum'!V$18)*(Application!$AC$714:$AC$738 = 'CalHFA Addendum'!$B21),Application!$G$714:$G$738)</f>
        <v>11</v>
      </c>
      <c r="W21" s="2191"/>
      <c r="X21" s="2191"/>
      <c r="Y21" s="2191"/>
      <c r="Z21" s="2191"/>
      <c r="AA21" s="2192"/>
      <c r="AB21" s="2190" cm="1">
        <f t="array" ref="AB21">SUMPRODUCT((Application!$B$714:$B$738 = 'CalHFA Addendum'!AB$18)*(Application!$AC$714:$AC$738 = 'CalHFA Addendum'!$B21),Application!$G$714:$G$738)</f>
        <v>7</v>
      </c>
      <c r="AC21" s="2191"/>
      <c r="AD21" s="2191"/>
      <c r="AE21" s="2191"/>
      <c r="AF21" s="2191"/>
      <c r="AG21" s="2192"/>
      <c r="AH21" s="2190" cm="1">
        <f t="array" ref="AH21">SUMPRODUCT((Application!$B$714:$B$738 = 'CalHFA Addendum'!AH$18)*(Application!$AC$714:$AC$738 = 'CalHFA Addendum'!$B21),Application!$G$714:$G$738)</f>
        <v>6</v>
      </c>
      <c r="AI21" s="2191"/>
      <c r="AJ21" s="2191"/>
      <c r="AK21" s="2191"/>
      <c r="AL21" s="2191"/>
      <c r="AM21" s="2192"/>
      <c r="AN21" s="2190" cm="1">
        <f t="array" ref="AN21">SUMPRODUCT((Application!$B$714:$B$738 = 'CalHFA Addendum'!AN$18)*(Application!$AC$714:$AC$738 = 'CalHFA Addendum'!$B21),Application!$G$714:$G$738)</f>
        <v>0</v>
      </c>
      <c r="AO21" s="2191"/>
      <c r="AP21" s="2191"/>
      <c r="AQ21" s="2191"/>
      <c r="AR21" s="2191"/>
      <c r="AS21" s="2192"/>
      <c r="AT21" s="2193">
        <f t="shared" si="0"/>
        <v>0.10526315789473684</v>
      </c>
      <c r="AU21" s="2194"/>
      <c r="AV21" s="2194"/>
      <c r="AW21" s="2194"/>
      <c r="AX21" s="2194"/>
      <c r="AY21" s="2195"/>
      <c r="AZ21" s="1207"/>
      <c r="BA21" s="1207"/>
      <c r="BB21" s="1207"/>
      <c r="BC21" s="1207"/>
      <c r="BD21" s="1207"/>
      <c r="BE21" s="1213"/>
    </row>
    <row r="22" spans="1:58" ht="14.4">
      <c r="A22" s="1207"/>
      <c r="B22" s="2196">
        <v>0.6</v>
      </c>
      <c r="C22" s="2197"/>
      <c r="D22" s="2197"/>
      <c r="E22" s="2197"/>
      <c r="F22" s="2197"/>
      <c r="G22" s="2197"/>
      <c r="H22" s="2197"/>
      <c r="I22" s="2198"/>
      <c r="J22" s="2190">
        <f t="shared" si="1"/>
        <v>178</v>
      </c>
      <c r="K22" s="2191"/>
      <c r="L22" s="2191"/>
      <c r="M22" s="2191"/>
      <c r="N22" s="2191"/>
      <c r="O22" s="2192"/>
      <c r="P22" s="2190" cm="1">
        <f t="array" ref="P22">SUMPRODUCT((Application!$B$714:$B$738 = 'CalHFA Addendum'!P$18)*(Application!$AC$714:$AC$738 = 'CalHFA Addendum'!$B22),Application!$G$714:$G$738)</f>
        <v>0</v>
      </c>
      <c r="Q22" s="2191"/>
      <c r="R22" s="2191"/>
      <c r="S22" s="2191"/>
      <c r="T22" s="2191"/>
      <c r="U22" s="2192"/>
      <c r="V22" s="2190" cm="1">
        <f t="array" ref="V22">SUMPRODUCT((Application!$B$714:$B$738 = 'CalHFA Addendum'!V$18)*(Application!$AC$714:$AC$738 = 'CalHFA Addendum'!$B22),Application!$G$714:$G$738)</f>
        <v>83</v>
      </c>
      <c r="W22" s="2191"/>
      <c r="X22" s="2191"/>
      <c r="Y22" s="2191"/>
      <c r="Z22" s="2191"/>
      <c r="AA22" s="2192"/>
      <c r="AB22" s="2190" cm="1">
        <f t="array" ref="AB22">SUMPRODUCT((Application!$B$714:$B$738 = 'CalHFA Addendum'!AB$18)*(Application!$AC$714:$AC$738 = 'CalHFA Addendum'!$B22),Application!$G$714:$G$738)</f>
        <v>47</v>
      </c>
      <c r="AC22" s="2191"/>
      <c r="AD22" s="2191"/>
      <c r="AE22" s="2191"/>
      <c r="AF22" s="2191"/>
      <c r="AG22" s="2192"/>
      <c r="AH22" s="2190" cm="1">
        <f t="array" ref="AH22">SUMPRODUCT((Application!$B$714:$B$738 = 'CalHFA Addendum'!AH$18)*(Application!$AC$714:$AC$738 = 'CalHFA Addendum'!$B22),Application!$G$714:$G$738)</f>
        <v>48</v>
      </c>
      <c r="AI22" s="2191"/>
      <c r="AJ22" s="2191"/>
      <c r="AK22" s="2191"/>
      <c r="AL22" s="2191"/>
      <c r="AM22" s="2192"/>
      <c r="AN22" s="2190" cm="1">
        <f t="array" ref="AN22">SUMPRODUCT((Application!$B$714:$B$738 = 'CalHFA Addendum'!AN$18)*(Application!$AC$714:$AC$738 = 'CalHFA Addendum'!$B22),Application!$G$714:$G$738)</f>
        <v>0</v>
      </c>
      <c r="AO22" s="2191"/>
      <c r="AP22" s="2191"/>
      <c r="AQ22" s="2191"/>
      <c r="AR22" s="2191"/>
      <c r="AS22" s="2192"/>
      <c r="AT22" s="2193">
        <f t="shared" si="0"/>
        <v>0.7807017543859649</v>
      </c>
      <c r="AU22" s="2194"/>
      <c r="AV22" s="2194"/>
      <c r="AW22" s="2194"/>
      <c r="AX22" s="2194"/>
      <c r="AY22" s="2195"/>
      <c r="AZ22" s="1207"/>
      <c r="BA22" s="1207"/>
      <c r="BB22" s="1207"/>
      <c r="BC22" s="1207"/>
      <c r="BD22" s="1207"/>
      <c r="BE22" s="1213"/>
    </row>
    <row r="23" spans="1:58" ht="14.4">
      <c r="A23" s="1207"/>
      <c r="B23" s="2196">
        <v>0.7</v>
      </c>
      <c r="C23" s="2197"/>
      <c r="D23" s="2197"/>
      <c r="E23" s="2197"/>
      <c r="F23" s="2197"/>
      <c r="G23" s="2197"/>
      <c r="H23" s="2197"/>
      <c r="I23" s="2198"/>
      <c r="J23" s="2190">
        <f t="shared" si="1"/>
        <v>0</v>
      </c>
      <c r="K23" s="2191"/>
      <c r="L23" s="2191"/>
      <c r="M23" s="2191"/>
      <c r="N23" s="2191"/>
      <c r="O23" s="2192"/>
      <c r="P23" s="2190" cm="1">
        <f t="array" ref="P23">SUMPRODUCT((Application!$B$714:$B$738 = 'CalHFA Addendum'!P$18)*(Application!$AC$714:$AC$738 = 'CalHFA Addendum'!$B23),Application!$G$714:$G$738)</f>
        <v>0</v>
      </c>
      <c r="Q23" s="2191"/>
      <c r="R23" s="2191"/>
      <c r="S23" s="2191"/>
      <c r="T23" s="2191"/>
      <c r="U23" s="2192"/>
      <c r="V23" s="2190" cm="1">
        <f t="array" ref="V23">SUMPRODUCT((Application!$B$714:$B$738 = 'CalHFA Addendum'!V$18)*(Application!$AC$714:$AC$738 = 'CalHFA Addendum'!$B23),Application!$G$714:$G$738)</f>
        <v>0</v>
      </c>
      <c r="W23" s="2191"/>
      <c r="X23" s="2191"/>
      <c r="Y23" s="2191"/>
      <c r="Z23" s="2191"/>
      <c r="AA23" s="2192"/>
      <c r="AB23" s="2190" cm="1">
        <f t="array" ref="AB23">SUMPRODUCT((Application!$B$714:$B$738 = 'CalHFA Addendum'!AB$18)*(Application!$AC$714:$AC$738 = 'CalHFA Addendum'!$B23),Application!$G$714:$G$738)</f>
        <v>0</v>
      </c>
      <c r="AC23" s="2191"/>
      <c r="AD23" s="2191"/>
      <c r="AE23" s="2191"/>
      <c r="AF23" s="2191"/>
      <c r="AG23" s="2192"/>
      <c r="AH23" s="2190" cm="1">
        <f t="array" ref="AH23">SUMPRODUCT((Application!$B$714:$B$738 = 'CalHFA Addendum'!AH$18)*(Application!$AC$714:$AC$738 = 'CalHFA Addendum'!$B23),Application!$G$714:$G$738)</f>
        <v>0</v>
      </c>
      <c r="AI23" s="2191"/>
      <c r="AJ23" s="2191"/>
      <c r="AK23" s="2191"/>
      <c r="AL23" s="2191"/>
      <c r="AM23" s="2192"/>
      <c r="AN23" s="2190" cm="1">
        <f t="array" ref="AN23">SUMPRODUCT((Application!$B$714:$B$738 = 'CalHFA Addendum'!AN$18)*(Application!$AC$714:$AC$738 = 'CalHFA Addendum'!$B23),Application!$G$714:$G$738)</f>
        <v>0</v>
      </c>
      <c r="AO23" s="2191"/>
      <c r="AP23" s="2191"/>
      <c r="AQ23" s="2191"/>
      <c r="AR23" s="2191"/>
      <c r="AS23" s="2192"/>
      <c r="AT23" s="2193">
        <f t="shared" si="0"/>
        <v>0</v>
      </c>
      <c r="AU23" s="2194"/>
      <c r="AV23" s="2194"/>
      <c r="AW23" s="2194"/>
      <c r="AX23" s="2194"/>
      <c r="AY23" s="2195"/>
      <c r="AZ23" s="1207"/>
      <c r="BA23" s="1207"/>
      <c r="BB23" s="1207"/>
      <c r="BC23" s="1207"/>
      <c r="BD23" s="1207"/>
      <c r="BE23" s="1213"/>
    </row>
    <row r="24" spans="1:58" ht="14.4">
      <c r="A24" s="1207"/>
      <c r="B24" s="2196">
        <v>0.8</v>
      </c>
      <c r="C24" s="2197"/>
      <c r="D24" s="2197"/>
      <c r="E24" s="2197"/>
      <c r="F24" s="2197"/>
      <c r="G24" s="2197"/>
      <c r="H24" s="2197"/>
      <c r="I24" s="2198"/>
      <c r="J24" s="2190">
        <f t="shared" si="1"/>
        <v>0</v>
      </c>
      <c r="K24" s="2191"/>
      <c r="L24" s="2191"/>
      <c r="M24" s="2191"/>
      <c r="N24" s="2191"/>
      <c r="O24" s="2192"/>
      <c r="P24" s="2190" cm="1">
        <f t="array" ref="P24">SUMPRODUCT((Application!$B$714:$B$738 = 'CalHFA Addendum'!P$18)*(Application!$AC$714:$AC$738 = 'CalHFA Addendum'!$B24),Application!$G$714:$G$738)</f>
        <v>0</v>
      </c>
      <c r="Q24" s="2191"/>
      <c r="R24" s="2191"/>
      <c r="S24" s="2191"/>
      <c r="T24" s="2191"/>
      <c r="U24" s="2192"/>
      <c r="V24" s="2190" cm="1">
        <f t="array" ref="V24">SUMPRODUCT((Application!$B$714:$B$738 = 'CalHFA Addendum'!V$18)*(Application!$AC$714:$AC$738 = 'CalHFA Addendum'!$B24),Application!$G$714:$G$738)</f>
        <v>0</v>
      </c>
      <c r="W24" s="2191"/>
      <c r="X24" s="2191"/>
      <c r="Y24" s="2191"/>
      <c r="Z24" s="2191"/>
      <c r="AA24" s="2192"/>
      <c r="AB24" s="2190" cm="1">
        <f t="array" ref="AB24">SUMPRODUCT((Application!$B$714:$B$738 = 'CalHFA Addendum'!AB$18)*(Application!$AC$714:$AC$738 = 'CalHFA Addendum'!$B24),Application!$G$714:$G$738)</f>
        <v>0</v>
      </c>
      <c r="AC24" s="2191"/>
      <c r="AD24" s="2191"/>
      <c r="AE24" s="2191"/>
      <c r="AF24" s="2191"/>
      <c r="AG24" s="2192"/>
      <c r="AH24" s="2190" cm="1">
        <f t="array" ref="AH24">SUMPRODUCT((Application!$B$714:$B$738 = 'CalHFA Addendum'!AH$18)*(Application!$AC$714:$AC$738 = 'CalHFA Addendum'!$B24),Application!$G$714:$G$738)</f>
        <v>0</v>
      </c>
      <c r="AI24" s="2191"/>
      <c r="AJ24" s="2191"/>
      <c r="AK24" s="2191"/>
      <c r="AL24" s="2191"/>
      <c r="AM24" s="2192"/>
      <c r="AN24" s="2190" cm="1">
        <f t="array" ref="AN24">SUMPRODUCT((Application!$B$714:$B$738 = 'CalHFA Addendum'!AN$18)*(Application!$AC$714:$AC$738 = 'CalHFA Addendum'!$B24),Application!$G$714:$G$738)</f>
        <v>0</v>
      </c>
      <c r="AO24" s="2191"/>
      <c r="AP24" s="2191"/>
      <c r="AQ24" s="2191"/>
      <c r="AR24" s="2191"/>
      <c r="AS24" s="2192"/>
      <c r="AT24" s="2193">
        <f t="shared" si="0"/>
        <v>0</v>
      </c>
      <c r="AU24" s="2194"/>
      <c r="AV24" s="2194"/>
      <c r="AW24" s="2194"/>
      <c r="AX24" s="2194"/>
      <c r="AY24" s="2195"/>
      <c r="AZ24" s="1207"/>
      <c r="BA24" s="1207"/>
      <c r="BB24" s="1207"/>
      <c r="BC24" s="1207"/>
      <c r="BD24" s="1207"/>
      <c r="BE24" s="1213"/>
    </row>
    <row r="25" spans="1:58" ht="14.4">
      <c r="A25" s="1207"/>
      <c r="B25" s="2196">
        <v>0.9</v>
      </c>
      <c r="C25" s="2197"/>
      <c r="D25" s="2197"/>
      <c r="E25" s="2197"/>
      <c r="F25" s="2197"/>
      <c r="G25" s="2197"/>
      <c r="H25" s="2197"/>
      <c r="I25" s="2198"/>
      <c r="J25" s="2190">
        <f t="shared" si="1"/>
        <v>0</v>
      </c>
      <c r="K25" s="2191"/>
      <c r="L25" s="2191"/>
      <c r="M25" s="2191"/>
      <c r="N25" s="2191"/>
      <c r="O25" s="2192"/>
      <c r="P25" s="2190" cm="1">
        <f t="array" ref="P25">SUMPRODUCT((Application!$B$714:$B$738 = 'CalHFA Addendum'!P$18)*(Application!$AC$714:$AC$738 = 'CalHFA Addendum'!$B25),Application!$G$714:$G$738)</f>
        <v>0</v>
      </c>
      <c r="Q25" s="2191"/>
      <c r="R25" s="2191"/>
      <c r="S25" s="2191"/>
      <c r="T25" s="2191"/>
      <c r="U25" s="2192"/>
      <c r="V25" s="2190" cm="1">
        <f t="array" ref="V25">SUMPRODUCT((Application!$B$714:$B$738 = 'CalHFA Addendum'!V$18)*(Application!$AC$714:$AC$738 = 'CalHFA Addendum'!$B25),Application!$G$714:$G$738)</f>
        <v>0</v>
      </c>
      <c r="W25" s="2191"/>
      <c r="X25" s="2191"/>
      <c r="Y25" s="2191"/>
      <c r="Z25" s="2191"/>
      <c r="AA25" s="2192"/>
      <c r="AB25" s="2190" cm="1">
        <f t="array" ref="AB25">SUMPRODUCT((Application!$B$714:$B$738 = 'CalHFA Addendum'!AB$18)*(Application!$AC$714:$AC$738 = 'CalHFA Addendum'!$B25),Application!$G$714:$G$738)</f>
        <v>0</v>
      </c>
      <c r="AC25" s="2191"/>
      <c r="AD25" s="2191"/>
      <c r="AE25" s="2191"/>
      <c r="AF25" s="2191"/>
      <c r="AG25" s="2192"/>
      <c r="AH25" s="2190" cm="1">
        <f t="array" ref="AH25">SUMPRODUCT((Application!$B$714:$B$738 = 'CalHFA Addendum'!AH$18)*(Application!$AC$714:$AC$738 = 'CalHFA Addendum'!$B25),Application!$G$714:$G$738)</f>
        <v>0</v>
      </c>
      <c r="AI25" s="2191"/>
      <c r="AJ25" s="2191"/>
      <c r="AK25" s="2191"/>
      <c r="AL25" s="2191"/>
      <c r="AM25" s="2192"/>
      <c r="AN25" s="2190" cm="1">
        <f t="array" ref="AN25">SUMPRODUCT((Application!$B$714:$B$738 = 'CalHFA Addendum'!AN$18)*(Application!$AC$714:$AC$738 = 'CalHFA Addendum'!$B25),Application!$G$714:$G$738)</f>
        <v>0</v>
      </c>
      <c r="AO25" s="2191"/>
      <c r="AP25" s="2191"/>
      <c r="AQ25" s="2191"/>
      <c r="AR25" s="2191"/>
      <c r="AS25" s="2192"/>
      <c r="AT25" s="2193">
        <f t="shared" si="0"/>
        <v>0</v>
      </c>
      <c r="AU25" s="2194"/>
      <c r="AV25" s="2194"/>
      <c r="AW25" s="2194"/>
      <c r="AX25" s="2194"/>
      <c r="AY25" s="2195"/>
      <c r="AZ25" s="1207"/>
      <c r="BA25" s="1207"/>
      <c r="BB25" s="1207"/>
      <c r="BC25" s="1207"/>
      <c r="BD25" s="1207"/>
      <c r="BE25" s="1213"/>
    </row>
    <row r="26" spans="1:58" ht="14.4">
      <c r="A26" s="1207"/>
      <c r="B26" s="2196">
        <v>1</v>
      </c>
      <c r="C26" s="2197"/>
      <c r="D26" s="2197"/>
      <c r="E26" s="2197"/>
      <c r="F26" s="2197"/>
      <c r="G26" s="2197"/>
      <c r="H26" s="2197"/>
      <c r="I26" s="2198"/>
      <c r="J26" s="2190">
        <f t="shared" si="1"/>
        <v>0</v>
      </c>
      <c r="K26" s="2191"/>
      <c r="L26" s="2191"/>
      <c r="M26" s="2191"/>
      <c r="N26" s="2191"/>
      <c r="O26" s="2192"/>
      <c r="P26" s="2190" cm="1">
        <f t="array" ref="P26">SUMPRODUCT((Application!$B$714:$B$738 = 'CalHFA Addendum'!P$18)*(Application!$AC$714:$AC$738 = 'CalHFA Addendum'!$B26),Application!$G$714:$G$738)</f>
        <v>0</v>
      </c>
      <c r="Q26" s="2191"/>
      <c r="R26" s="2191"/>
      <c r="S26" s="2191"/>
      <c r="T26" s="2191"/>
      <c r="U26" s="2192"/>
      <c r="V26" s="2190" cm="1">
        <f t="array" ref="V26">SUMPRODUCT((Application!$B$714:$B$738 = 'CalHFA Addendum'!V$18)*(Application!$AC$714:$AC$738 = 'CalHFA Addendum'!$B26),Application!$G$714:$G$738)</f>
        <v>0</v>
      </c>
      <c r="W26" s="2191"/>
      <c r="X26" s="2191"/>
      <c r="Y26" s="2191"/>
      <c r="Z26" s="2191"/>
      <c r="AA26" s="2192"/>
      <c r="AB26" s="2190" cm="1">
        <f t="array" ref="AB26">SUMPRODUCT((Application!$B$714:$B$738 = 'CalHFA Addendum'!AB$18)*(Application!$AC$714:$AC$738 = 'CalHFA Addendum'!$B26),Application!$G$714:$G$738)</f>
        <v>0</v>
      </c>
      <c r="AC26" s="2191"/>
      <c r="AD26" s="2191"/>
      <c r="AE26" s="2191"/>
      <c r="AF26" s="2191"/>
      <c r="AG26" s="2192"/>
      <c r="AH26" s="2190" cm="1">
        <f t="array" ref="AH26">SUMPRODUCT((Application!$B$714:$B$738 = 'CalHFA Addendum'!AH$18)*(Application!$AC$714:$AC$738 = 'CalHFA Addendum'!$B26),Application!$G$714:$G$738)</f>
        <v>0</v>
      </c>
      <c r="AI26" s="2191"/>
      <c r="AJ26" s="2191"/>
      <c r="AK26" s="2191"/>
      <c r="AL26" s="2191"/>
      <c r="AM26" s="2192"/>
      <c r="AN26" s="2190" cm="1">
        <f t="array" ref="AN26">SUMPRODUCT((Application!$B$714:$B$738 = 'CalHFA Addendum'!AN$18)*(Application!$AC$714:$AC$738 = 'CalHFA Addendum'!$B26),Application!$G$714:$G$738)</f>
        <v>0</v>
      </c>
      <c r="AO26" s="2191"/>
      <c r="AP26" s="2191"/>
      <c r="AQ26" s="2191"/>
      <c r="AR26" s="2191"/>
      <c r="AS26" s="2192"/>
      <c r="AT26" s="2193">
        <f t="shared" si="0"/>
        <v>0</v>
      </c>
      <c r="AU26" s="2194"/>
      <c r="AV26" s="2194"/>
      <c r="AW26" s="2194"/>
      <c r="AX26" s="2194"/>
      <c r="AY26" s="2195"/>
      <c r="AZ26" s="1207"/>
      <c r="BA26" s="1207"/>
      <c r="BB26" s="1207"/>
      <c r="BC26" s="1207"/>
      <c r="BD26" s="1207"/>
      <c r="BE26" s="1213"/>
    </row>
    <row r="27" spans="1:58" ht="14.4">
      <c r="A27" s="1207"/>
      <c r="B27" s="2196">
        <v>1.1000000000000001</v>
      </c>
      <c r="C27" s="2197"/>
      <c r="D27" s="2197"/>
      <c r="E27" s="2197"/>
      <c r="F27" s="2197"/>
      <c r="G27" s="2197"/>
      <c r="H27" s="2197"/>
      <c r="I27" s="2198"/>
      <c r="J27" s="2190">
        <f t="shared" si="1"/>
        <v>0</v>
      </c>
      <c r="K27" s="2191"/>
      <c r="L27" s="2191"/>
      <c r="M27" s="2191"/>
      <c r="N27" s="2191"/>
      <c r="O27" s="2192"/>
      <c r="P27" s="2190" cm="1">
        <f t="array" ref="P27">SUMPRODUCT((Application!$B$714:$B$738 = 'CalHFA Addendum'!P$18)*(Application!$AC$714:$AC$738 = 'CalHFA Addendum'!$B27),Application!$G$714:$G$738)</f>
        <v>0</v>
      </c>
      <c r="Q27" s="2191"/>
      <c r="R27" s="2191"/>
      <c r="S27" s="2191"/>
      <c r="T27" s="2191"/>
      <c r="U27" s="2192"/>
      <c r="V27" s="2190" cm="1">
        <f t="array" ref="V27">SUMPRODUCT((Application!$B$714:$B$738 = 'CalHFA Addendum'!V$18)*(Application!$AC$714:$AC$738 = 'CalHFA Addendum'!$B27),Application!$G$714:$G$738)</f>
        <v>0</v>
      </c>
      <c r="W27" s="2191"/>
      <c r="X27" s="2191"/>
      <c r="Y27" s="2191"/>
      <c r="Z27" s="2191"/>
      <c r="AA27" s="2192"/>
      <c r="AB27" s="2190" cm="1">
        <f t="array" ref="AB27">SUMPRODUCT((Application!$B$714:$B$738 = 'CalHFA Addendum'!AB$18)*(Application!$AC$714:$AC$738 = 'CalHFA Addendum'!$B27),Application!$G$714:$G$738)</f>
        <v>0</v>
      </c>
      <c r="AC27" s="2191"/>
      <c r="AD27" s="2191"/>
      <c r="AE27" s="2191"/>
      <c r="AF27" s="2191"/>
      <c r="AG27" s="2192"/>
      <c r="AH27" s="2190" cm="1">
        <f t="array" ref="AH27">SUMPRODUCT((Application!$B$714:$B$738 = 'CalHFA Addendum'!AH$18)*(Application!$AC$714:$AC$738 = 'CalHFA Addendum'!$B27),Application!$G$714:$G$738)</f>
        <v>0</v>
      </c>
      <c r="AI27" s="2191"/>
      <c r="AJ27" s="2191"/>
      <c r="AK27" s="2191"/>
      <c r="AL27" s="2191"/>
      <c r="AM27" s="2192"/>
      <c r="AN27" s="2190" cm="1">
        <f t="array" ref="AN27">SUMPRODUCT((Application!$B$714:$B$738 = 'CalHFA Addendum'!AN$18)*(Application!$AC$714:$AC$738 = 'CalHFA Addendum'!$B27),Application!$G$714:$G$738)</f>
        <v>0</v>
      </c>
      <c r="AO27" s="2191"/>
      <c r="AP27" s="2191"/>
      <c r="AQ27" s="2191"/>
      <c r="AR27" s="2191"/>
      <c r="AS27" s="2192"/>
      <c r="AT27" s="2193">
        <f t="shared" si="0"/>
        <v>0</v>
      </c>
      <c r="AU27" s="2194"/>
      <c r="AV27" s="2194"/>
      <c r="AW27" s="2194"/>
      <c r="AX27" s="2194"/>
      <c r="AY27" s="2195"/>
      <c r="AZ27" s="1207"/>
      <c r="BA27" s="1207"/>
      <c r="BB27" s="1207"/>
      <c r="BC27" s="1207"/>
      <c r="BD27" s="1207"/>
      <c r="BE27" s="1213"/>
    </row>
    <row r="28" spans="1:58" ht="15" thickBot="1">
      <c r="A28" s="1207"/>
      <c r="B28" s="2199" t="s">
        <v>1865</v>
      </c>
      <c r="C28" s="2200"/>
      <c r="D28" s="2200"/>
      <c r="E28" s="2200"/>
      <c r="F28" s="2200"/>
      <c r="G28" s="2200"/>
      <c r="H28" s="2200"/>
      <c r="I28" s="2201"/>
      <c r="J28" s="2202">
        <f t="shared" si="1"/>
        <v>2</v>
      </c>
      <c r="K28" s="2203"/>
      <c r="L28" s="2203"/>
      <c r="M28" s="2203"/>
      <c r="N28" s="2203"/>
      <c r="O28" s="2204"/>
      <c r="P28" s="2202">
        <f>_xlfn.IFNA(VLOOKUP(P$18,Application!$J$758:$S$761,6,FALSE), 0)</f>
        <v>0</v>
      </c>
      <c r="Q28" s="2203"/>
      <c r="R28" s="2203"/>
      <c r="S28" s="2203"/>
      <c r="T28" s="2203"/>
      <c r="U28" s="2204"/>
      <c r="V28" s="2202">
        <f>_xlfn.IFNA(VLOOKUP(V$18,Application!$J$758:$S$761,6,FALSE), 0)</f>
        <v>0</v>
      </c>
      <c r="W28" s="2203"/>
      <c r="X28" s="2203"/>
      <c r="Y28" s="2203"/>
      <c r="Z28" s="2203"/>
      <c r="AA28" s="2204"/>
      <c r="AB28" s="2202">
        <f>_xlfn.IFNA(VLOOKUP(AB$18,Application!$J$758:$S$761,6,FALSE), 0)</f>
        <v>2</v>
      </c>
      <c r="AC28" s="2203"/>
      <c r="AD28" s="2203"/>
      <c r="AE28" s="2203"/>
      <c r="AF28" s="2203"/>
      <c r="AG28" s="2204"/>
      <c r="AH28" s="2202">
        <f>_xlfn.IFNA(VLOOKUP(AH$18,Application!$J$758:$S$761,6,FALSE), 0)</f>
        <v>0</v>
      </c>
      <c r="AI28" s="2203"/>
      <c r="AJ28" s="2203"/>
      <c r="AK28" s="2203"/>
      <c r="AL28" s="2203"/>
      <c r="AM28" s="2204"/>
      <c r="AN28" s="2202">
        <f>_xlfn.IFNA(VLOOKUP(AN$18,Application!$J$758:$S$761,6,FALSE), 0)</f>
        <v>0</v>
      </c>
      <c r="AO28" s="2203"/>
      <c r="AP28" s="2203"/>
      <c r="AQ28" s="2203"/>
      <c r="AR28" s="2203"/>
      <c r="AS28" s="2204"/>
      <c r="AT28" s="2205">
        <f t="shared" si="0"/>
        <v>8.771929824561403E-3</v>
      </c>
      <c r="AU28" s="2206"/>
      <c r="AV28" s="2206"/>
      <c r="AW28" s="2206"/>
      <c r="AX28" s="2206"/>
      <c r="AY28" s="2207"/>
      <c r="AZ28" s="1207"/>
      <c r="BA28" s="1207"/>
      <c r="BB28" s="1207"/>
      <c r="BC28" s="1207"/>
      <c r="BD28" s="1207"/>
      <c r="BE28" s="1213"/>
    </row>
    <row r="29" spans="1:58" ht="15" thickBot="1">
      <c r="A29" s="1207"/>
      <c r="B29" s="2230" t="s">
        <v>1762</v>
      </c>
      <c r="C29" s="2213"/>
      <c r="D29" s="2213"/>
      <c r="E29" s="2213"/>
      <c r="F29" s="2213"/>
      <c r="G29" s="2213"/>
      <c r="H29" s="2213"/>
      <c r="I29" s="2214"/>
      <c r="J29" s="2212">
        <f>SUM(J19:O28)</f>
        <v>228</v>
      </c>
      <c r="K29" s="2213"/>
      <c r="L29" s="2213"/>
      <c r="M29" s="2213"/>
      <c r="N29" s="2213"/>
      <c r="O29" s="2214"/>
      <c r="P29" s="2212">
        <f>SUM(P19:U28)</f>
        <v>0</v>
      </c>
      <c r="Q29" s="2213"/>
      <c r="R29" s="2213"/>
      <c r="S29" s="2213"/>
      <c r="T29" s="2213"/>
      <c r="U29" s="2214"/>
      <c r="V29" s="2212">
        <f>SUM(V19:AA28)</f>
        <v>105</v>
      </c>
      <c r="W29" s="2213"/>
      <c r="X29" s="2213"/>
      <c r="Y29" s="2213"/>
      <c r="Z29" s="2213"/>
      <c r="AA29" s="2214"/>
      <c r="AB29" s="2212">
        <f>SUM(AB19:AG28)</f>
        <v>63</v>
      </c>
      <c r="AC29" s="2213"/>
      <c r="AD29" s="2213"/>
      <c r="AE29" s="2213"/>
      <c r="AF29" s="2213"/>
      <c r="AG29" s="2214"/>
      <c r="AH29" s="2212">
        <f>SUM(AH19:AM28)</f>
        <v>60</v>
      </c>
      <c r="AI29" s="2213"/>
      <c r="AJ29" s="2213"/>
      <c r="AK29" s="2213"/>
      <c r="AL29" s="2213"/>
      <c r="AM29" s="2214"/>
      <c r="AN29" s="2212">
        <f>SUM(AN19:AS28)</f>
        <v>0</v>
      </c>
      <c r="AO29" s="2213"/>
      <c r="AP29" s="2213"/>
      <c r="AQ29" s="2213"/>
      <c r="AR29" s="2213"/>
      <c r="AS29" s="2214"/>
      <c r="AT29" s="2215">
        <f>J29/$J$29</f>
        <v>1</v>
      </c>
      <c r="AU29" s="2216"/>
      <c r="AV29" s="2216"/>
      <c r="AW29" s="2216"/>
      <c r="AX29" s="2216"/>
      <c r="AY29" s="2217"/>
      <c r="AZ29" s="1207"/>
      <c r="BA29" s="1207"/>
      <c r="BB29" s="1207"/>
      <c r="BC29" s="1207"/>
      <c r="BD29" s="1207"/>
      <c r="BE29" s="1213"/>
    </row>
    <row r="30" spans="1:58" ht="15"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4">
      <c r="A31" s="1207"/>
      <c r="B31" s="2218" t="s">
        <v>1866</v>
      </c>
      <c r="C31" s="2219"/>
      <c r="D31" s="2219"/>
      <c r="E31" s="2219"/>
      <c r="F31" s="2219"/>
      <c r="G31" s="2219"/>
      <c r="H31" s="2219"/>
      <c r="I31" s="2219"/>
      <c r="J31" s="2219"/>
      <c r="K31" s="2219"/>
      <c r="L31" s="2219"/>
      <c r="M31" s="2219"/>
      <c r="N31" s="2219"/>
      <c r="O31" s="2219"/>
      <c r="P31" s="2219"/>
      <c r="Q31" s="2219"/>
      <c r="R31" s="2219"/>
      <c r="S31" s="2219"/>
      <c r="T31" s="2219"/>
      <c r="U31" s="2219"/>
      <c r="V31" s="2219"/>
      <c r="W31" s="2219"/>
      <c r="X31" s="2219"/>
      <c r="Y31" s="2219"/>
      <c r="Z31" s="2219"/>
      <c r="AA31" s="2219"/>
      <c r="AB31" s="2219"/>
      <c r="AC31" s="2219"/>
      <c r="AD31" s="2219"/>
      <c r="AE31" s="2219"/>
      <c r="AF31" s="2219"/>
      <c r="AG31" s="2219"/>
      <c r="AH31" s="2219"/>
      <c r="AI31" s="2219"/>
      <c r="AJ31" s="2219"/>
      <c r="AK31" s="2219"/>
      <c r="AL31" s="2219"/>
      <c r="AM31" s="2219"/>
      <c r="AN31" s="2219"/>
      <c r="AO31" s="2219"/>
      <c r="AP31" s="2219"/>
      <c r="AQ31" s="2219"/>
      <c r="AR31" s="2219"/>
      <c r="AS31" s="2219"/>
      <c r="AT31" s="2219"/>
      <c r="AU31" s="2219"/>
      <c r="AV31" s="2219"/>
      <c r="AW31" s="2219"/>
      <c r="AX31" s="2219"/>
      <c r="AY31" s="2219"/>
      <c r="AZ31" s="2220"/>
      <c r="BA31" s="1207"/>
      <c r="BB31" s="1207"/>
      <c r="BC31" s="1207"/>
      <c r="BD31" s="1207"/>
      <c r="BE31" s="1213"/>
    </row>
    <row r="32" spans="1:58" ht="14.4">
      <c r="A32" s="1207"/>
      <c r="B32" s="2221" t="s">
        <v>2574</v>
      </c>
      <c r="C32" s="2222"/>
      <c r="D32" s="2222"/>
      <c r="E32" s="2222"/>
      <c r="F32" s="2222"/>
      <c r="G32" s="2222"/>
      <c r="H32" s="2222"/>
      <c r="I32" s="2222"/>
      <c r="J32" s="2224" t="s">
        <v>2575</v>
      </c>
      <c r="K32" s="2225"/>
      <c r="L32" s="2225"/>
      <c r="M32" s="2225"/>
      <c r="N32" s="2224" t="s">
        <v>1867</v>
      </c>
      <c r="O32" s="2225"/>
      <c r="P32" s="2225"/>
      <c r="Q32" s="2225"/>
      <c r="R32" s="2226" t="s">
        <v>1868</v>
      </c>
      <c r="S32" s="2226"/>
      <c r="T32" s="2226"/>
      <c r="U32" s="2226"/>
      <c r="V32" s="2226"/>
      <c r="W32" s="2226"/>
      <c r="X32" s="2226"/>
      <c r="Y32" s="2226"/>
      <c r="Z32" s="2226"/>
      <c r="AA32" s="2226"/>
      <c r="AB32" s="2226"/>
      <c r="AC32" s="2226"/>
      <c r="AD32" s="2226"/>
      <c r="AE32" s="2226"/>
      <c r="AF32" s="2226"/>
      <c r="AG32" s="2226"/>
      <c r="AH32" s="2226"/>
      <c r="AI32" s="2226"/>
      <c r="AJ32" s="2226"/>
      <c r="AK32" s="2226"/>
      <c r="AL32" s="2226"/>
      <c r="AM32" s="2226"/>
      <c r="AN32" s="2226"/>
      <c r="AO32" s="2226"/>
      <c r="AP32" s="2226"/>
      <c r="AQ32" s="2226"/>
      <c r="AR32" s="2226"/>
      <c r="AS32" s="2226"/>
      <c r="AT32" s="2226"/>
      <c r="AU32" s="2226"/>
      <c r="AV32" s="2226"/>
      <c r="AW32" s="2226"/>
      <c r="AX32" s="2226"/>
      <c r="AY32" s="2226"/>
      <c r="AZ32" s="2227"/>
      <c r="BA32" s="1207"/>
      <c r="BB32" s="1207"/>
      <c r="BC32" s="1207"/>
      <c r="BD32" s="1207"/>
      <c r="BE32" s="1213"/>
    </row>
    <row r="33" spans="1:58" ht="15" customHeight="1">
      <c r="A33" s="1207"/>
      <c r="B33" s="2223"/>
      <c r="C33" s="2222"/>
      <c r="D33" s="2222"/>
      <c r="E33" s="2222"/>
      <c r="F33" s="2222"/>
      <c r="G33" s="2222"/>
      <c r="H33" s="2222"/>
      <c r="I33" s="2222"/>
      <c r="J33" s="2225"/>
      <c r="K33" s="2225"/>
      <c r="L33" s="2225"/>
      <c r="M33" s="2225"/>
      <c r="N33" s="2225"/>
      <c r="O33" s="2225"/>
      <c r="P33" s="2225"/>
      <c r="Q33" s="2225"/>
      <c r="R33" s="2228" t="s">
        <v>1869</v>
      </c>
      <c r="S33" s="2224"/>
      <c r="T33" s="2224"/>
      <c r="U33" s="2224"/>
      <c r="V33" s="2224"/>
      <c r="W33" s="2224"/>
      <c r="X33" s="2224"/>
      <c r="Y33" s="2224"/>
      <c r="Z33" s="2224"/>
      <c r="AA33" s="2224"/>
      <c r="AB33" s="2224"/>
      <c r="AC33" s="2224"/>
      <c r="AD33" s="2224"/>
      <c r="AE33" s="2224"/>
      <c r="AF33" s="2224"/>
      <c r="AG33" s="2224"/>
      <c r="AH33" s="2224"/>
      <c r="AI33" s="2224"/>
      <c r="AJ33" s="2224"/>
      <c r="AK33" s="2224"/>
      <c r="AL33" s="2224"/>
      <c r="AM33" s="2224"/>
      <c r="AN33" s="2224"/>
      <c r="AO33" s="2224"/>
      <c r="AP33" s="2224"/>
      <c r="AQ33" s="2224"/>
      <c r="AR33" s="2224"/>
      <c r="AS33" s="2224"/>
      <c r="AT33" s="2224"/>
      <c r="AU33" s="2224"/>
      <c r="AV33" s="2224"/>
      <c r="AW33" s="2224"/>
      <c r="AX33" s="2224"/>
      <c r="AY33" s="2224"/>
      <c r="AZ33" s="2229"/>
      <c r="BA33" s="1214"/>
      <c r="BB33" s="1207"/>
      <c r="BC33" s="1207"/>
      <c r="BD33" s="1207"/>
      <c r="BE33" s="1213"/>
    </row>
    <row r="34" spans="1:58" ht="15.75" customHeight="1">
      <c r="A34" s="1207"/>
      <c r="B34" s="2223"/>
      <c r="C34" s="2222"/>
      <c r="D34" s="2222"/>
      <c r="E34" s="2222"/>
      <c r="F34" s="2222"/>
      <c r="G34" s="2222"/>
      <c r="H34" s="2222"/>
      <c r="I34" s="2222"/>
      <c r="J34" s="2225"/>
      <c r="K34" s="2225"/>
      <c r="L34" s="2225"/>
      <c r="M34" s="2225"/>
      <c r="N34" s="2225"/>
      <c r="O34" s="2225"/>
      <c r="P34" s="2225"/>
      <c r="Q34" s="2225"/>
      <c r="R34" s="2224"/>
      <c r="S34" s="2224"/>
      <c r="T34" s="2224"/>
      <c r="U34" s="2224"/>
      <c r="V34" s="2224"/>
      <c r="W34" s="2224"/>
      <c r="X34" s="2224"/>
      <c r="Y34" s="2224"/>
      <c r="Z34" s="2224"/>
      <c r="AA34" s="2224"/>
      <c r="AB34" s="2224"/>
      <c r="AC34" s="2224"/>
      <c r="AD34" s="2224"/>
      <c r="AE34" s="2224"/>
      <c r="AF34" s="2224"/>
      <c r="AG34" s="2224"/>
      <c r="AH34" s="2224"/>
      <c r="AI34" s="2224"/>
      <c r="AJ34" s="2224"/>
      <c r="AK34" s="2224"/>
      <c r="AL34" s="2224"/>
      <c r="AM34" s="2224"/>
      <c r="AN34" s="2224"/>
      <c r="AO34" s="2224"/>
      <c r="AP34" s="2224"/>
      <c r="AQ34" s="2224"/>
      <c r="AR34" s="2224"/>
      <c r="AS34" s="2224"/>
      <c r="AT34" s="2224"/>
      <c r="AU34" s="2224"/>
      <c r="AV34" s="2224"/>
      <c r="AW34" s="2224"/>
      <c r="AX34" s="2224"/>
      <c r="AY34" s="2224"/>
      <c r="AZ34" s="2229"/>
      <c r="BA34" s="1214"/>
      <c r="BB34" s="1207"/>
      <c r="BC34" s="1207"/>
      <c r="BD34" s="1207"/>
      <c r="BE34" s="1213"/>
    </row>
    <row r="35" spans="1:58" ht="15.75" customHeight="1">
      <c r="A35" s="1207"/>
      <c r="B35" s="2223"/>
      <c r="C35" s="2222"/>
      <c r="D35" s="2222"/>
      <c r="E35" s="2222"/>
      <c r="F35" s="2222"/>
      <c r="G35" s="2222"/>
      <c r="H35" s="2222"/>
      <c r="I35" s="2222"/>
      <c r="J35" s="2225"/>
      <c r="K35" s="2225"/>
      <c r="L35" s="2225"/>
      <c r="M35" s="2225"/>
      <c r="N35" s="2225"/>
      <c r="O35" s="2225"/>
      <c r="P35" s="2225"/>
      <c r="Q35" s="2225"/>
      <c r="R35" s="2208">
        <v>0.3</v>
      </c>
      <c r="S35" s="2208"/>
      <c r="T35" s="2208"/>
      <c r="U35" s="2208"/>
      <c r="V35" s="2208">
        <v>0.4</v>
      </c>
      <c r="W35" s="2208"/>
      <c r="X35" s="2208"/>
      <c r="Y35" s="2208"/>
      <c r="Z35" s="2208">
        <v>0.5</v>
      </c>
      <c r="AA35" s="2208"/>
      <c r="AB35" s="2208"/>
      <c r="AC35" s="2208"/>
      <c r="AD35" s="2208">
        <v>0.6</v>
      </c>
      <c r="AE35" s="2208"/>
      <c r="AF35" s="2208"/>
      <c r="AG35" s="2208"/>
      <c r="AH35" s="2208">
        <v>0.8</v>
      </c>
      <c r="AI35" s="2208"/>
      <c r="AJ35" s="2208"/>
      <c r="AK35" s="2208"/>
      <c r="AL35" s="2209">
        <v>1</v>
      </c>
      <c r="AM35" s="2209"/>
      <c r="AN35" s="2209"/>
      <c r="AO35" s="2210" t="s">
        <v>1870</v>
      </c>
      <c r="AP35" s="2210"/>
      <c r="AQ35" s="2210"/>
      <c r="AR35" s="2210"/>
      <c r="AS35" s="2210"/>
      <c r="AT35" s="2210"/>
      <c r="AU35" s="2210" t="s">
        <v>1871</v>
      </c>
      <c r="AV35" s="2210"/>
      <c r="AW35" s="2210"/>
      <c r="AX35" s="2210"/>
      <c r="AY35" s="2210"/>
      <c r="AZ35" s="2211"/>
      <c r="BA35" s="1214"/>
      <c r="BB35" s="1207"/>
      <c r="BC35" s="1207"/>
      <c r="BD35" s="1207"/>
      <c r="BE35" s="1213"/>
      <c r="BF35" s="1205"/>
    </row>
    <row r="36" spans="1:58" ht="15.75" customHeight="1">
      <c r="A36" s="1207"/>
      <c r="B36" s="2231" t="s">
        <v>1872</v>
      </c>
      <c r="C36" s="2232"/>
      <c r="D36" s="2232"/>
      <c r="E36" s="2232"/>
      <c r="F36" s="2232"/>
      <c r="G36" s="2232"/>
      <c r="H36" s="2232"/>
      <c r="I36" s="2232"/>
      <c r="J36" s="2233" t="s">
        <v>1873</v>
      </c>
      <c r="K36" s="2233"/>
      <c r="L36" s="2233"/>
      <c r="M36" s="2233"/>
      <c r="N36" s="2233">
        <v>55</v>
      </c>
      <c r="O36" s="2233"/>
      <c r="P36" s="2233"/>
      <c r="Q36" s="2233"/>
      <c r="R36" s="2234">
        <v>0</v>
      </c>
      <c r="S36" s="2234"/>
      <c r="T36" s="2234"/>
      <c r="U36" s="2234"/>
      <c r="V36" s="2234">
        <v>0</v>
      </c>
      <c r="W36" s="2234"/>
      <c r="X36" s="2234"/>
      <c r="Y36" s="2234"/>
      <c r="Z36" s="2234">
        <v>10</v>
      </c>
      <c r="AA36" s="2234"/>
      <c r="AB36" s="2234"/>
      <c r="AC36" s="2234"/>
      <c r="AD36" s="2234">
        <v>30</v>
      </c>
      <c r="AE36" s="2234"/>
      <c r="AF36" s="2234"/>
      <c r="AG36" s="2234"/>
      <c r="AH36" s="2234">
        <v>0</v>
      </c>
      <c r="AI36" s="2234"/>
      <c r="AJ36" s="2234"/>
      <c r="AK36" s="2234"/>
      <c r="AL36" s="2234">
        <v>0</v>
      </c>
      <c r="AM36" s="2234"/>
      <c r="AN36" s="2234"/>
      <c r="AO36" s="2235">
        <f>SUM(R36:AN36)</f>
        <v>40</v>
      </c>
      <c r="AP36" s="2235"/>
      <c r="AQ36" s="2235"/>
      <c r="AR36" s="2235"/>
      <c r="AS36" s="2235"/>
      <c r="AT36" s="2235"/>
      <c r="AU36" s="2236">
        <f>AO36/$J$29</f>
        <v>0.17543859649122806</v>
      </c>
      <c r="AV36" s="2236"/>
      <c r="AW36" s="2236"/>
      <c r="AX36" s="2236"/>
      <c r="AY36" s="2236"/>
      <c r="AZ36" s="2237"/>
      <c r="BA36" s="1207"/>
      <c r="BB36" s="1207"/>
      <c r="BC36" s="1207"/>
      <c r="BD36" s="1207"/>
      <c r="BE36" s="1213"/>
      <c r="BF36" s="1205"/>
    </row>
    <row r="37" spans="1:58" ht="15.75" customHeight="1">
      <c r="A37" s="1207"/>
      <c r="B37" s="2231" t="s">
        <v>2576</v>
      </c>
      <c r="C37" s="2232"/>
      <c r="D37" s="2232"/>
      <c r="E37" s="2232"/>
      <c r="F37" s="2232"/>
      <c r="G37" s="2232"/>
      <c r="H37" s="2232"/>
      <c r="I37" s="2232"/>
      <c r="J37" s="2233" t="s">
        <v>1874</v>
      </c>
      <c r="K37" s="2233"/>
      <c r="L37" s="2233"/>
      <c r="M37" s="2233"/>
      <c r="N37" s="2233">
        <v>55</v>
      </c>
      <c r="O37" s="2233"/>
      <c r="P37" s="2233"/>
      <c r="Q37" s="2233"/>
      <c r="R37" s="2234">
        <v>10</v>
      </c>
      <c r="S37" s="2234"/>
      <c r="T37" s="2234"/>
      <c r="U37" s="2234"/>
      <c r="V37" s="2234"/>
      <c r="W37" s="2234"/>
      <c r="X37" s="2234"/>
      <c r="Y37" s="2234"/>
      <c r="Z37" s="2234"/>
      <c r="AA37" s="2234"/>
      <c r="AB37" s="2234"/>
      <c r="AC37" s="2234"/>
      <c r="AD37" s="2234"/>
      <c r="AE37" s="2234"/>
      <c r="AF37" s="2234"/>
      <c r="AG37" s="2234"/>
      <c r="AH37" s="2234"/>
      <c r="AI37" s="2234"/>
      <c r="AJ37" s="2234"/>
      <c r="AK37" s="2234"/>
      <c r="AL37" s="2234"/>
      <c r="AM37" s="2234"/>
      <c r="AN37" s="2234"/>
      <c r="AO37" s="2235">
        <f t="shared" ref="AO37:AO47" si="2">SUM(R37:AN37)</f>
        <v>10</v>
      </c>
      <c r="AP37" s="2235"/>
      <c r="AQ37" s="2235"/>
      <c r="AR37" s="2235"/>
      <c r="AS37" s="2235"/>
      <c r="AT37" s="2235"/>
      <c r="AU37" s="2236">
        <f t="shared" ref="AU37:AU47" si="3">AO37/$J$29</f>
        <v>4.3859649122807015E-2</v>
      </c>
      <c r="AV37" s="2236"/>
      <c r="AW37" s="2236"/>
      <c r="AX37" s="2236"/>
      <c r="AY37" s="2236"/>
      <c r="AZ37" s="2237"/>
      <c r="BA37" s="1207"/>
      <c r="BB37" s="1207"/>
      <c r="BC37" s="1207"/>
      <c r="BD37" s="1207"/>
      <c r="BE37" s="1213"/>
      <c r="BF37" s="1205"/>
    </row>
    <row r="38" spans="1:58" ht="15.75" customHeight="1">
      <c r="A38" s="1207"/>
      <c r="B38" s="2231" t="s">
        <v>2514</v>
      </c>
      <c r="C38" s="2232"/>
      <c r="D38" s="2232"/>
      <c r="E38" s="2232"/>
      <c r="F38" s="2232"/>
      <c r="G38" s="2232"/>
      <c r="H38" s="2232"/>
      <c r="I38" s="2232"/>
      <c r="J38" s="2233" t="s">
        <v>1875</v>
      </c>
      <c r="K38" s="2233"/>
      <c r="L38" s="2233"/>
      <c r="M38" s="2233"/>
      <c r="N38" s="2233">
        <v>55</v>
      </c>
      <c r="O38" s="2233"/>
      <c r="P38" s="2233"/>
      <c r="Q38" s="2233"/>
      <c r="R38" s="2234"/>
      <c r="S38" s="2234"/>
      <c r="T38" s="2234"/>
      <c r="U38" s="2234"/>
      <c r="V38" s="2234"/>
      <c r="W38" s="2234"/>
      <c r="X38" s="2234"/>
      <c r="Y38" s="2234"/>
      <c r="Z38" s="2234"/>
      <c r="AA38" s="2234"/>
      <c r="AB38" s="2234"/>
      <c r="AC38" s="2234"/>
      <c r="AD38" s="2234"/>
      <c r="AE38" s="2234"/>
      <c r="AF38" s="2234"/>
      <c r="AG38" s="2234"/>
      <c r="AH38" s="2234"/>
      <c r="AI38" s="2234"/>
      <c r="AJ38" s="2234"/>
      <c r="AK38" s="2234"/>
      <c r="AL38" s="2234"/>
      <c r="AM38" s="2234"/>
      <c r="AN38" s="2234"/>
      <c r="AO38" s="2235">
        <f t="shared" si="2"/>
        <v>0</v>
      </c>
      <c r="AP38" s="2235"/>
      <c r="AQ38" s="2235"/>
      <c r="AR38" s="2235"/>
      <c r="AS38" s="2235"/>
      <c r="AT38" s="2235"/>
      <c r="AU38" s="2236">
        <f t="shared" si="3"/>
        <v>0</v>
      </c>
      <c r="AV38" s="2236"/>
      <c r="AW38" s="2236"/>
      <c r="AX38" s="2236"/>
      <c r="AY38" s="2236"/>
      <c r="AZ38" s="2237"/>
      <c r="BA38" s="1207"/>
      <c r="BB38" s="1207"/>
      <c r="BC38" s="1207"/>
      <c r="BD38" s="1207"/>
      <c r="BE38" s="1213"/>
      <c r="BF38" s="1205"/>
    </row>
    <row r="39" spans="1:58" ht="15.75" customHeight="1">
      <c r="A39" s="1207"/>
      <c r="B39" s="2231" t="s">
        <v>1876</v>
      </c>
      <c r="C39" s="2232"/>
      <c r="D39" s="2232"/>
      <c r="E39" s="2232"/>
      <c r="F39" s="2232"/>
      <c r="G39" s="2232"/>
      <c r="H39" s="2232"/>
      <c r="I39" s="2232"/>
      <c r="J39" s="2233"/>
      <c r="K39" s="2233"/>
      <c r="L39" s="2233"/>
      <c r="M39" s="2233"/>
      <c r="N39" s="2233"/>
      <c r="O39" s="2233"/>
      <c r="P39" s="2233"/>
      <c r="Q39" s="2233"/>
      <c r="R39" s="2234"/>
      <c r="S39" s="2234"/>
      <c r="T39" s="2234"/>
      <c r="U39" s="2234"/>
      <c r="V39" s="2234"/>
      <c r="W39" s="2234"/>
      <c r="X39" s="2234"/>
      <c r="Y39" s="2234"/>
      <c r="Z39" s="2234"/>
      <c r="AA39" s="2234"/>
      <c r="AB39" s="2234"/>
      <c r="AC39" s="2234"/>
      <c r="AD39" s="2234"/>
      <c r="AE39" s="2234"/>
      <c r="AF39" s="2234"/>
      <c r="AG39" s="2234"/>
      <c r="AH39" s="2234"/>
      <c r="AI39" s="2234"/>
      <c r="AJ39" s="2234"/>
      <c r="AK39" s="2234"/>
      <c r="AL39" s="2234"/>
      <c r="AM39" s="2234"/>
      <c r="AN39" s="2234"/>
      <c r="AO39" s="2235">
        <f t="shared" si="2"/>
        <v>0</v>
      </c>
      <c r="AP39" s="2235"/>
      <c r="AQ39" s="2235"/>
      <c r="AR39" s="2235"/>
      <c r="AS39" s="2235"/>
      <c r="AT39" s="2235"/>
      <c r="AU39" s="2236">
        <f t="shared" si="3"/>
        <v>0</v>
      </c>
      <c r="AV39" s="2236"/>
      <c r="AW39" s="2236"/>
      <c r="AX39" s="2236"/>
      <c r="AY39" s="2236"/>
      <c r="AZ39" s="2237"/>
      <c r="BA39" s="1207"/>
      <c r="BB39" s="1207"/>
      <c r="BC39" s="1207"/>
      <c r="BD39" s="1207"/>
      <c r="BE39" s="1213"/>
    </row>
    <row r="40" spans="1:58" ht="15.75" customHeight="1">
      <c r="A40" s="1207"/>
      <c r="B40" s="2231" t="s">
        <v>1876</v>
      </c>
      <c r="C40" s="2232"/>
      <c r="D40" s="2232"/>
      <c r="E40" s="2232"/>
      <c r="F40" s="2232"/>
      <c r="G40" s="2232"/>
      <c r="H40" s="2232"/>
      <c r="I40" s="2232"/>
      <c r="J40" s="2233"/>
      <c r="K40" s="2233"/>
      <c r="L40" s="2233"/>
      <c r="M40" s="2233"/>
      <c r="N40" s="2233"/>
      <c r="O40" s="2233"/>
      <c r="P40" s="2233"/>
      <c r="Q40" s="2233"/>
      <c r="R40" s="2234"/>
      <c r="S40" s="2234"/>
      <c r="T40" s="2234"/>
      <c r="U40" s="2234"/>
      <c r="V40" s="2234"/>
      <c r="W40" s="2234"/>
      <c r="X40" s="2234"/>
      <c r="Y40" s="2234"/>
      <c r="Z40" s="2234"/>
      <c r="AA40" s="2234"/>
      <c r="AB40" s="2234"/>
      <c r="AC40" s="2234"/>
      <c r="AD40" s="2234"/>
      <c r="AE40" s="2234"/>
      <c r="AF40" s="2234"/>
      <c r="AG40" s="2234"/>
      <c r="AH40" s="2234"/>
      <c r="AI40" s="2234"/>
      <c r="AJ40" s="2234"/>
      <c r="AK40" s="2234"/>
      <c r="AL40" s="2234"/>
      <c r="AM40" s="2234"/>
      <c r="AN40" s="2234"/>
      <c r="AO40" s="2235">
        <f t="shared" si="2"/>
        <v>0</v>
      </c>
      <c r="AP40" s="2235"/>
      <c r="AQ40" s="2235"/>
      <c r="AR40" s="2235"/>
      <c r="AS40" s="2235"/>
      <c r="AT40" s="2235"/>
      <c r="AU40" s="2236">
        <f t="shared" si="3"/>
        <v>0</v>
      </c>
      <c r="AV40" s="2236"/>
      <c r="AW40" s="2236"/>
      <c r="AX40" s="2236"/>
      <c r="AY40" s="2236"/>
      <c r="AZ40" s="2237"/>
      <c r="BA40" s="1207"/>
      <c r="BB40" s="1207"/>
      <c r="BC40" s="1207"/>
      <c r="BD40" s="1207"/>
      <c r="BE40" s="1213"/>
    </row>
    <row r="41" spans="1:58" ht="15.75" customHeight="1">
      <c r="A41" s="1207"/>
      <c r="B41" s="2231" t="s">
        <v>1877</v>
      </c>
      <c r="C41" s="2232"/>
      <c r="D41" s="2232"/>
      <c r="E41" s="2232"/>
      <c r="F41" s="2232"/>
      <c r="G41" s="2232"/>
      <c r="H41" s="2232"/>
      <c r="I41" s="2232"/>
      <c r="J41" s="2233"/>
      <c r="K41" s="2233"/>
      <c r="L41" s="2233"/>
      <c r="M41" s="2233"/>
      <c r="N41" s="2233"/>
      <c r="O41" s="2233"/>
      <c r="P41" s="2233"/>
      <c r="Q41" s="2233"/>
      <c r="R41" s="2234"/>
      <c r="S41" s="2234"/>
      <c r="T41" s="2234"/>
      <c r="U41" s="2234"/>
      <c r="V41" s="2234"/>
      <c r="W41" s="2234"/>
      <c r="X41" s="2234"/>
      <c r="Y41" s="2234"/>
      <c r="Z41" s="2234"/>
      <c r="AA41" s="2234"/>
      <c r="AB41" s="2234"/>
      <c r="AC41" s="2234"/>
      <c r="AD41" s="2234"/>
      <c r="AE41" s="2234"/>
      <c r="AF41" s="2234"/>
      <c r="AG41" s="2234"/>
      <c r="AH41" s="2234"/>
      <c r="AI41" s="2234"/>
      <c r="AJ41" s="2234"/>
      <c r="AK41" s="2234"/>
      <c r="AL41" s="2234"/>
      <c r="AM41" s="2234"/>
      <c r="AN41" s="2234"/>
      <c r="AO41" s="2235">
        <f t="shared" si="2"/>
        <v>0</v>
      </c>
      <c r="AP41" s="2235"/>
      <c r="AQ41" s="2235"/>
      <c r="AR41" s="2235"/>
      <c r="AS41" s="2235"/>
      <c r="AT41" s="2235"/>
      <c r="AU41" s="2236">
        <f t="shared" si="3"/>
        <v>0</v>
      </c>
      <c r="AV41" s="2236"/>
      <c r="AW41" s="2236"/>
      <c r="AX41" s="2236"/>
      <c r="AY41" s="2236"/>
      <c r="AZ41" s="2237"/>
      <c r="BA41" s="1207"/>
      <c r="BB41" s="1207"/>
      <c r="BC41" s="1207"/>
      <c r="BD41" s="1207"/>
      <c r="BE41" s="1213"/>
    </row>
    <row r="42" spans="1:58" ht="15.75" customHeight="1">
      <c r="A42" s="1207"/>
      <c r="B42" s="2231" t="s">
        <v>1877</v>
      </c>
      <c r="C42" s="2232"/>
      <c r="D42" s="2232"/>
      <c r="E42" s="2232"/>
      <c r="F42" s="2232"/>
      <c r="G42" s="2232"/>
      <c r="H42" s="2232"/>
      <c r="I42" s="2232"/>
      <c r="J42" s="2233"/>
      <c r="K42" s="2233"/>
      <c r="L42" s="2233"/>
      <c r="M42" s="2233"/>
      <c r="N42" s="2233"/>
      <c r="O42" s="2233"/>
      <c r="P42" s="2233"/>
      <c r="Q42" s="2233"/>
      <c r="R42" s="2234"/>
      <c r="S42" s="2234"/>
      <c r="T42" s="2234"/>
      <c r="U42" s="2234"/>
      <c r="V42" s="2234"/>
      <c r="W42" s="2234"/>
      <c r="X42" s="2234"/>
      <c r="Y42" s="2234"/>
      <c r="Z42" s="2234"/>
      <c r="AA42" s="2234"/>
      <c r="AB42" s="2234"/>
      <c r="AC42" s="2234"/>
      <c r="AD42" s="2234"/>
      <c r="AE42" s="2234"/>
      <c r="AF42" s="2234"/>
      <c r="AG42" s="2234"/>
      <c r="AH42" s="2234"/>
      <c r="AI42" s="2234"/>
      <c r="AJ42" s="2234"/>
      <c r="AK42" s="2234"/>
      <c r="AL42" s="2234"/>
      <c r="AM42" s="2234"/>
      <c r="AN42" s="2234"/>
      <c r="AO42" s="2235">
        <f t="shared" si="2"/>
        <v>0</v>
      </c>
      <c r="AP42" s="2235"/>
      <c r="AQ42" s="2235"/>
      <c r="AR42" s="2235"/>
      <c r="AS42" s="2235"/>
      <c r="AT42" s="2235"/>
      <c r="AU42" s="2236">
        <f t="shared" si="3"/>
        <v>0</v>
      </c>
      <c r="AV42" s="2236"/>
      <c r="AW42" s="2236"/>
      <c r="AX42" s="2236"/>
      <c r="AY42" s="2236"/>
      <c r="AZ42" s="2237"/>
      <c r="BA42" s="1207"/>
      <c r="BB42" s="1207"/>
      <c r="BC42" s="1207"/>
      <c r="BD42" s="1207"/>
      <c r="BE42" s="1213"/>
    </row>
    <row r="43" spans="1:58" ht="15.75" customHeight="1">
      <c r="A43" s="1207"/>
      <c r="B43" s="2238" t="s">
        <v>1878</v>
      </c>
      <c r="C43" s="2239"/>
      <c r="D43" s="2239"/>
      <c r="E43" s="2239"/>
      <c r="F43" s="2239"/>
      <c r="G43" s="2239"/>
      <c r="H43" s="2239"/>
      <c r="I43" s="2239"/>
      <c r="J43" s="2233"/>
      <c r="K43" s="2233"/>
      <c r="L43" s="2233"/>
      <c r="M43" s="2233"/>
      <c r="N43" s="2233"/>
      <c r="O43" s="2233"/>
      <c r="P43" s="2233"/>
      <c r="Q43" s="2233"/>
      <c r="R43" s="2234"/>
      <c r="S43" s="2234"/>
      <c r="T43" s="2234"/>
      <c r="U43" s="2234"/>
      <c r="V43" s="2234"/>
      <c r="W43" s="2234"/>
      <c r="X43" s="2234"/>
      <c r="Y43" s="2234"/>
      <c r="Z43" s="2234"/>
      <c r="AA43" s="2234"/>
      <c r="AB43" s="2234"/>
      <c r="AC43" s="2234"/>
      <c r="AD43" s="2234"/>
      <c r="AE43" s="2234"/>
      <c r="AF43" s="2234"/>
      <c r="AG43" s="2234"/>
      <c r="AH43" s="2234"/>
      <c r="AI43" s="2234"/>
      <c r="AJ43" s="2234"/>
      <c r="AK43" s="2234"/>
      <c r="AL43" s="2234"/>
      <c r="AM43" s="2234"/>
      <c r="AN43" s="2234"/>
      <c r="AO43" s="2235">
        <f t="shared" si="2"/>
        <v>0</v>
      </c>
      <c r="AP43" s="2235"/>
      <c r="AQ43" s="2235"/>
      <c r="AR43" s="2235"/>
      <c r="AS43" s="2235"/>
      <c r="AT43" s="2235"/>
      <c r="AU43" s="2236">
        <f t="shared" si="3"/>
        <v>0</v>
      </c>
      <c r="AV43" s="2236"/>
      <c r="AW43" s="2236"/>
      <c r="AX43" s="2236"/>
      <c r="AY43" s="2236"/>
      <c r="AZ43" s="2237"/>
      <c r="BA43" s="1207"/>
      <c r="BB43" s="1207"/>
      <c r="BC43" s="1207"/>
      <c r="BD43" s="1207"/>
      <c r="BE43" s="1213"/>
    </row>
    <row r="44" spans="1:58" ht="15.75" customHeight="1">
      <c r="A44" s="1207"/>
      <c r="B44" s="2238" t="s">
        <v>1879</v>
      </c>
      <c r="C44" s="2239"/>
      <c r="D44" s="2239"/>
      <c r="E44" s="2239"/>
      <c r="F44" s="2239"/>
      <c r="G44" s="2239"/>
      <c r="H44" s="2239"/>
      <c r="I44" s="2239"/>
      <c r="J44" s="2233"/>
      <c r="K44" s="2233"/>
      <c r="L44" s="2233"/>
      <c r="M44" s="2233"/>
      <c r="N44" s="2233"/>
      <c r="O44" s="2233"/>
      <c r="P44" s="2233"/>
      <c r="Q44" s="2233"/>
      <c r="R44" s="2234"/>
      <c r="S44" s="2234"/>
      <c r="T44" s="2234"/>
      <c r="U44" s="2234"/>
      <c r="V44" s="2234"/>
      <c r="W44" s="2234"/>
      <c r="X44" s="2234"/>
      <c r="Y44" s="2234"/>
      <c r="Z44" s="2234"/>
      <c r="AA44" s="2234"/>
      <c r="AB44" s="2234"/>
      <c r="AC44" s="2234"/>
      <c r="AD44" s="2234"/>
      <c r="AE44" s="2234"/>
      <c r="AF44" s="2234"/>
      <c r="AG44" s="2234"/>
      <c r="AH44" s="2234"/>
      <c r="AI44" s="2234"/>
      <c r="AJ44" s="2234"/>
      <c r="AK44" s="2234"/>
      <c r="AL44" s="2234"/>
      <c r="AM44" s="2234"/>
      <c r="AN44" s="2234"/>
      <c r="AO44" s="2235">
        <f t="shared" si="2"/>
        <v>0</v>
      </c>
      <c r="AP44" s="2235"/>
      <c r="AQ44" s="2235"/>
      <c r="AR44" s="2235"/>
      <c r="AS44" s="2235"/>
      <c r="AT44" s="2235"/>
      <c r="AU44" s="2236">
        <f t="shared" si="3"/>
        <v>0</v>
      </c>
      <c r="AV44" s="2236"/>
      <c r="AW44" s="2236"/>
      <c r="AX44" s="2236"/>
      <c r="AY44" s="2236"/>
      <c r="AZ44" s="2237"/>
      <c r="BA44" s="1207"/>
      <c r="BB44" s="1207"/>
      <c r="BC44" s="1207"/>
      <c r="BD44" s="1207"/>
      <c r="BE44" s="1213"/>
    </row>
    <row r="45" spans="1:58" ht="15.75" customHeight="1">
      <c r="A45" s="1207"/>
      <c r="B45" s="2238" t="s">
        <v>1880</v>
      </c>
      <c r="C45" s="2239"/>
      <c r="D45" s="2239"/>
      <c r="E45" s="2239"/>
      <c r="F45" s="2239"/>
      <c r="G45" s="2239"/>
      <c r="H45" s="2239"/>
      <c r="I45" s="2239"/>
      <c r="J45" s="2233"/>
      <c r="K45" s="2233"/>
      <c r="L45" s="2233"/>
      <c r="M45" s="2233"/>
      <c r="N45" s="2233"/>
      <c r="O45" s="2233"/>
      <c r="P45" s="2233"/>
      <c r="Q45" s="2233"/>
      <c r="R45" s="2234"/>
      <c r="S45" s="2234"/>
      <c r="T45" s="2234"/>
      <c r="U45" s="2234"/>
      <c r="V45" s="2234"/>
      <c r="W45" s="2234"/>
      <c r="X45" s="2234"/>
      <c r="Y45" s="2234"/>
      <c r="Z45" s="2234"/>
      <c r="AA45" s="2234"/>
      <c r="AB45" s="2234"/>
      <c r="AC45" s="2234"/>
      <c r="AD45" s="2234"/>
      <c r="AE45" s="2234"/>
      <c r="AF45" s="2234"/>
      <c r="AG45" s="2234"/>
      <c r="AH45" s="2234"/>
      <c r="AI45" s="2234"/>
      <c r="AJ45" s="2234"/>
      <c r="AK45" s="2234"/>
      <c r="AL45" s="2234"/>
      <c r="AM45" s="2234"/>
      <c r="AN45" s="2234"/>
      <c r="AO45" s="2235">
        <f t="shared" si="2"/>
        <v>0</v>
      </c>
      <c r="AP45" s="2235"/>
      <c r="AQ45" s="2235"/>
      <c r="AR45" s="2235"/>
      <c r="AS45" s="2235"/>
      <c r="AT45" s="2235"/>
      <c r="AU45" s="2236">
        <f t="shared" si="3"/>
        <v>0</v>
      </c>
      <c r="AV45" s="2236"/>
      <c r="AW45" s="2236"/>
      <c r="AX45" s="2236"/>
      <c r="AY45" s="2236"/>
      <c r="AZ45" s="2237"/>
      <c r="BA45" s="1207"/>
      <c r="BB45" s="1207"/>
      <c r="BC45" s="1207"/>
      <c r="BD45" s="1207"/>
      <c r="BE45" s="1213"/>
    </row>
    <row r="46" spans="1:58" ht="15.75" customHeight="1">
      <c r="A46" s="1207"/>
      <c r="B46" s="2238" t="s">
        <v>1881</v>
      </c>
      <c r="C46" s="2239"/>
      <c r="D46" s="2239"/>
      <c r="E46" s="2239"/>
      <c r="F46" s="2239"/>
      <c r="G46" s="2239"/>
      <c r="H46" s="2239"/>
      <c r="I46" s="2239"/>
      <c r="J46" s="2233"/>
      <c r="K46" s="2233"/>
      <c r="L46" s="2233"/>
      <c r="M46" s="2233"/>
      <c r="N46" s="2233">
        <v>99</v>
      </c>
      <c r="O46" s="2233"/>
      <c r="P46" s="2233"/>
      <c r="Q46" s="2233"/>
      <c r="R46" s="2234"/>
      <c r="S46" s="2234"/>
      <c r="T46" s="2234"/>
      <c r="U46" s="2234"/>
      <c r="V46" s="2234"/>
      <c r="W46" s="2234"/>
      <c r="X46" s="2234"/>
      <c r="Y46" s="2234"/>
      <c r="Z46" s="2234"/>
      <c r="AA46" s="2234"/>
      <c r="AB46" s="2234"/>
      <c r="AC46" s="2234"/>
      <c r="AD46" s="2234"/>
      <c r="AE46" s="2234"/>
      <c r="AF46" s="2234"/>
      <c r="AG46" s="2234"/>
      <c r="AH46" s="2234"/>
      <c r="AI46" s="2234"/>
      <c r="AJ46" s="2234"/>
      <c r="AK46" s="2234"/>
      <c r="AL46" s="2234"/>
      <c r="AM46" s="2234"/>
      <c r="AN46" s="2234"/>
      <c r="AO46" s="2235">
        <f t="shared" si="2"/>
        <v>0</v>
      </c>
      <c r="AP46" s="2235"/>
      <c r="AQ46" s="2235"/>
      <c r="AR46" s="2235"/>
      <c r="AS46" s="2235"/>
      <c r="AT46" s="2235"/>
      <c r="AU46" s="2236">
        <f t="shared" si="3"/>
        <v>0</v>
      </c>
      <c r="AV46" s="2236"/>
      <c r="AW46" s="2236"/>
      <c r="AX46" s="2236"/>
      <c r="AY46" s="2236"/>
      <c r="AZ46" s="2237"/>
      <c r="BA46" s="1207"/>
      <c r="BB46" s="1207"/>
      <c r="BC46" s="1207"/>
      <c r="BD46" s="1207"/>
      <c r="BE46" s="1213"/>
    </row>
    <row r="47" spans="1:58" ht="15.75" customHeight="1" thickBot="1">
      <c r="A47" s="1207"/>
      <c r="B47" s="2242" t="s">
        <v>302</v>
      </c>
      <c r="C47" s="2243"/>
      <c r="D47" s="2243"/>
      <c r="E47" s="2243"/>
      <c r="F47" s="2243"/>
      <c r="G47" s="2243"/>
      <c r="H47" s="2243"/>
      <c r="I47" s="2243"/>
      <c r="J47" s="2244"/>
      <c r="K47" s="2244"/>
      <c r="L47" s="2244"/>
      <c r="M47" s="2244"/>
      <c r="N47" s="2244"/>
      <c r="O47" s="2244"/>
      <c r="P47" s="2244"/>
      <c r="Q47" s="2244"/>
      <c r="R47" s="2245"/>
      <c r="S47" s="2245"/>
      <c r="T47" s="2245"/>
      <c r="U47" s="2245"/>
      <c r="V47" s="2245"/>
      <c r="W47" s="2245"/>
      <c r="X47" s="2245"/>
      <c r="Y47" s="2245"/>
      <c r="Z47" s="2245"/>
      <c r="AA47" s="2245"/>
      <c r="AB47" s="2245"/>
      <c r="AC47" s="2245"/>
      <c r="AD47" s="2245"/>
      <c r="AE47" s="2245"/>
      <c r="AF47" s="2245"/>
      <c r="AG47" s="2245"/>
      <c r="AH47" s="2245"/>
      <c r="AI47" s="2245"/>
      <c r="AJ47" s="2245"/>
      <c r="AK47" s="2245"/>
      <c r="AL47" s="2245"/>
      <c r="AM47" s="2245"/>
      <c r="AN47" s="2245"/>
      <c r="AO47" s="2249">
        <f t="shared" si="2"/>
        <v>0</v>
      </c>
      <c r="AP47" s="2249"/>
      <c r="AQ47" s="2249"/>
      <c r="AR47" s="2249"/>
      <c r="AS47" s="2249"/>
      <c r="AT47" s="2249"/>
      <c r="AU47" s="2240">
        <f t="shared" si="3"/>
        <v>0</v>
      </c>
      <c r="AV47" s="2240"/>
      <c r="AW47" s="2240"/>
      <c r="AX47" s="2240"/>
      <c r="AY47" s="2240"/>
      <c r="AZ47" s="2241"/>
      <c r="BA47" s="1207"/>
      <c r="BB47" s="1207"/>
      <c r="BC47" s="1207"/>
      <c r="BD47" s="1207"/>
      <c r="BE47" s="1213"/>
    </row>
    <row r="48" spans="1:58" ht="15.75" customHeight="1">
      <c r="A48" s="1207"/>
      <c r="B48" s="1215" t="s">
        <v>2577</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2257</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18" t="s">
        <v>1882</v>
      </c>
      <c r="C50" s="2219"/>
      <c r="D50" s="2219"/>
      <c r="E50" s="2219"/>
      <c r="F50" s="2219"/>
      <c r="G50" s="2219"/>
      <c r="H50" s="2219"/>
      <c r="I50" s="2219"/>
      <c r="J50" s="2219"/>
      <c r="K50" s="2219"/>
      <c r="L50" s="2219"/>
      <c r="M50" s="2219"/>
      <c r="N50" s="2219"/>
      <c r="O50" s="2219"/>
      <c r="P50" s="2219"/>
      <c r="Q50" s="2219"/>
      <c r="R50" s="2219"/>
      <c r="S50" s="2219"/>
      <c r="T50" s="2219"/>
      <c r="U50" s="2219"/>
      <c r="V50" s="2219"/>
      <c r="W50" s="2219"/>
      <c r="X50" s="2219"/>
      <c r="Y50" s="2219"/>
      <c r="Z50" s="2219"/>
      <c r="AA50" s="2219"/>
      <c r="AB50" s="2219"/>
      <c r="AC50" s="2219"/>
      <c r="AD50" s="2219"/>
      <c r="AE50" s="2219"/>
      <c r="AF50" s="2219"/>
      <c r="AG50" s="2219"/>
      <c r="AH50" s="2219"/>
      <c r="AI50" s="2219"/>
      <c r="AJ50" s="2219"/>
      <c r="AK50" s="2219"/>
      <c r="AL50" s="2219"/>
      <c r="AM50" s="2219"/>
      <c r="AN50" s="2219"/>
      <c r="AO50" s="2220"/>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46" t="s">
        <v>1883</v>
      </c>
      <c r="C51" s="2247"/>
      <c r="D51" s="2247"/>
      <c r="E51" s="2247"/>
      <c r="F51" s="2247"/>
      <c r="G51" s="2247"/>
      <c r="H51" s="2247"/>
      <c r="I51" s="2247"/>
      <c r="J51" s="2247" t="s">
        <v>2578</v>
      </c>
      <c r="K51" s="2247"/>
      <c r="L51" s="2247"/>
      <c r="M51" s="2247"/>
      <c r="N51" s="2247"/>
      <c r="O51" s="2247"/>
      <c r="P51" s="2247"/>
      <c r="Q51" s="2247"/>
      <c r="R51" s="2228" t="s">
        <v>2579</v>
      </c>
      <c r="S51" s="2228"/>
      <c r="T51" s="2228"/>
      <c r="U51" s="2228"/>
      <c r="V51" s="2228"/>
      <c r="W51" s="2228"/>
      <c r="X51" s="2228"/>
      <c r="Y51" s="2228"/>
      <c r="Z51" s="2228" t="s">
        <v>1884</v>
      </c>
      <c r="AA51" s="2228"/>
      <c r="AB51" s="2228"/>
      <c r="AC51" s="2228"/>
      <c r="AD51" s="2228"/>
      <c r="AE51" s="2228"/>
      <c r="AF51" s="2228"/>
      <c r="AG51" s="2228"/>
      <c r="AH51" s="2228" t="s">
        <v>1885</v>
      </c>
      <c r="AI51" s="2228"/>
      <c r="AJ51" s="2228"/>
      <c r="AK51" s="2228"/>
      <c r="AL51" s="2228"/>
      <c r="AM51" s="2228"/>
      <c r="AN51" s="2228"/>
      <c r="AO51" s="2248"/>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38" t="s">
        <v>2258</v>
      </c>
      <c r="C52" s="2239"/>
      <c r="D52" s="2239"/>
      <c r="E52" s="2239"/>
      <c r="F52" s="2239"/>
      <c r="G52" s="2239"/>
      <c r="H52" s="2239"/>
      <c r="I52" s="2239"/>
      <c r="J52" s="2250">
        <v>0</v>
      </c>
      <c r="K52" s="2250"/>
      <c r="L52" s="2250"/>
      <c r="M52" s="2250"/>
      <c r="N52" s="2250"/>
      <c r="O52" s="2250"/>
      <c r="P52" s="2250"/>
      <c r="Q52" s="2250"/>
      <c r="R52" s="2251">
        <v>0</v>
      </c>
      <c r="S52" s="2251"/>
      <c r="T52" s="2251"/>
      <c r="U52" s="2251"/>
      <c r="V52" s="2251"/>
      <c r="W52" s="2251"/>
      <c r="X52" s="2251"/>
      <c r="Y52" s="2251"/>
      <c r="Z52" s="2252">
        <v>0</v>
      </c>
      <c r="AA52" s="2252"/>
      <c r="AB52" s="2252"/>
      <c r="AC52" s="2252"/>
      <c r="AD52" s="2252"/>
      <c r="AE52" s="2252"/>
      <c r="AF52" s="2252"/>
      <c r="AG52" s="2252"/>
      <c r="AH52" s="2253"/>
      <c r="AI52" s="2253"/>
      <c r="AJ52" s="2253"/>
      <c r="AK52" s="2253"/>
      <c r="AL52" s="2253"/>
      <c r="AM52" s="2253"/>
      <c r="AN52" s="2253"/>
      <c r="AO52" s="2254"/>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38" t="s">
        <v>2259</v>
      </c>
      <c r="C53" s="2239"/>
      <c r="D53" s="2239"/>
      <c r="E53" s="2239"/>
      <c r="F53" s="2239"/>
      <c r="G53" s="2239"/>
      <c r="H53" s="2239"/>
      <c r="I53" s="2239"/>
      <c r="J53" s="2250">
        <v>0</v>
      </c>
      <c r="K53" s="2250"/>
      <c r="L53" s="2250"/>
      <c r="M53" s="2250"/>
      <c r="N53" s="2250"/>
      <c r="O53" s="2250"/>
      <c r="P53" s="2250"/>
      <c r="Q53" s="2250"/>
      <c r="R53" s="2251">
        <v>0</v>
      </c>
      <c r="S53" s="2251"/>
      <c r="T53" s="2251"/>
      <c r="U53" s="2251"/>
      <c r="V53" s="2251"/>
      <c r="W53" s="2251"/>
      <c r="X53" s="2251"/>
      <c r="Y53" s="2251"/>
      <c r="Z53" s="2252">
        <v>0</v>
      </c>
      <c r="AA53" s="2252"/>
      <c r="AB53" s="2252"/>
      <c r="AC53" s="2252"/>
      <c r="AD53" s="2252"/>
      <c r="AE53" s="2252"/>
      <c r="AF53" s="2252"/>
      <c r="AG53" s="2252"/>
      <c r="AH53" s="2253"/>
      <c r="AI53" s="2253"/>
      <c r="AJ53" s="2253"/>
      <c r="AK53" s="2253"/>
      <c r="AL53" s="2253"/>
      <c r="AM53" s="2253"/>
      <c r="AN53" s="2253"/>
      <c r="AO53" s="2254"/>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38"/>
      <c r="C54" s="2239"/>
      <c r="D54" s="2239"/>
      <c r="E54" s="2239"/>
      <c r="F54" s="2239"/>
      <c r="G54" s="2239"/>
      <c r="H54" s="2239"/>
      <c r="I54" s="2239"/>
      <c r="J54" s="2250"/>
      <c r="K54" s="2250"/>
      <c r="L54" s="2250"/>
      <c r="M54" s="2250"/>
      <c r="N54" s="2250"/>
      <c r="O54" s="2250"/>
      <c r="P54" s="2250"/>
      <c r="Q54" s="2250"/>
      <c r="R54" s="2251"/>
      <c r="S54" s="2251"/>
      <c r="T54" s="2251"/>
      <c r="U54" s="2251"/>
      <c r="V54" s="2251"/>
      <c r="W54" s="2251"/>
      <c r="X54" s="2251"/>
      <c r="Y54" s="2251"/>
      <c r="Z54" s="2252"/>
      <c r="AA54" s="2252"/>
      <c r="AB54" s="2252"/>
      <c r="AC54" s="2252"/>
      <c r="AD54" s="2252"/>
      <c r="AE54" s="2252"/>
      <c r="AF54" s="2252"/>
      <c r="AG54" s="2252"/>
      <c r="AH54" s="2253"/>
      <c r="AI54" s="2253"/>
      <c r="AJ54" s="2253"/>
      <c r="AK54" s="2253"/>
      <c r="AL54" s="2253"/>
      <c r="AM54" s="2253"/>
      <c r="AN54" s="2253"/>
      <c r="AO54" s="2254"/>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38"/>
      <c r="C55" s="2239"/>
      <c r="D55" s="2239"/>
      <c r="E55" s="2239"/>
      <c r="F55" s="2239"/>
      <c r="G55" s="2239"/>
      <c r="H55" s="2239"/>
      <c r="I55" s="2239"/>
      <c r="J55" s="2250"/>
      <c r="K55" s="2250"/>
      <c r="L55" s="2250"/>
      <c r="M55" s="2250"/>
      <c r="N55" s="2250"/>
      <c r="O55" s="2250"/>
      <c r="P55" s="2250"/>
      <c r="Q55" s="2250"/>
      <c r="R55" s="2251"/>
      <c r="S55" s="2251"/>
      <c r="T55" s="2251"/>
      <c r="U55" s="2251"/>
      <c r="V55" s="2251"/>
      <c r="W55" s="2251"/>
      <c r="X55" s="2251"/>
      <c r="Y55" s="2251"/>
      <c r="Z55" s="2252"/>
      <c r="AA55" s="2252"/>
      <c r="AB55" s="2252"/>
      <c r="AC55" s="2252"/>
      <c r="AD55" s="2252"/>
      <c r="AE55" s="2252"/>
      <c r="AF55" s="2252"/>
      <c r="AG55" s="2252"/>
      <c r="AH55" s="2253"/>
      <c r="AI55" s="2253"/>
      <c r="AJ55" s="2253"/>
      <c r="AK55" s="2253"/>
      <c r="AL55" s="2253"/>
      <c r="AM55" s="2253"/>
      <c r="AN55" s="2253"/>
      <c r="AO55" s="2254"/>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38"/>
      <c r="C56" s="2239"/>
      <c r="D56" s="2239"/>
      <c r="E56" s="2239"/>
      <c r="F56" s="2239"/>
      <c r="G56" s="2239"/>
      <c r="H56" s="2239"/>
      <c r="I56" s="2239"/>
      <c r="J56" s="2250"/>
      <c r="K56" s="2250"/>
      <c r="L56" s="2250"/>
      <c r="M56" s="2250"/>
      <c r="N56" s="2250"/>
      <c r="O56" s="2250"/>
      <c r="P56" s="2250"/>
      <c r="Q56" s="2250"/>
      <c r="R56" s="2251"/>
      <c r="S56" s="2251"/>
      <c r="T56" s="2251"/>
      <c r="U56" s="2251"/>
      <c r="V56" s="2251"/>
      <c r="W56" s="2251"/>
      <c r="X56" s="2251"/>
      <c r="Y56" s="2251"/>
      <c r="Z56" s="2252"/>
      <c r="AA56" s="2252"/>
      <c r="AB56" s="2252"/>
      <c r="AC56" s="2252"/>
      <c r="AD56" s="2252"/>
      <c r="AE56" s="2252"/>
      <c r="AF56" s="2252"/>
      <c r="AG56" s="2252"/>
      <c r="AH56" s="2253"/>
      <c r="AI56" s="2253"/>
      <c r="AJ56" s="2253"/>
      <c r="AK56" s="2253"/>
      <c r="AL56" s="2253"/>
      <c r="AM56" s="2253"/>
      <c r="AN56" s="2253"/>
      <c r="AO56" s="2254"/>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64" t="s">
        <v>1762</v>
      </c>
      <c r="C57" s="2265"/>
      <c r="D57" s="2265"/>
      <c r="E57" s="2265"/>
      <c r="F57" s="2265"/>
      <c r="G57" s="2265"/>
      <c r="H57" s="2265"/>
      <c r="I57" s="2265"/>
      <c r="J57" s="2265"/>
      <c r="K57" s="2265"/>
      <c r="L57" s="2265"/>
      <c r="M57" s="2265"/>
      <c r="N57" s="2265"/>
      <c r="O57" s="2265"/>
      <c r="P57" s="2265"/>
      <c r="Q57" s="2265"/>
      <c r="R57" s="2266">
        <f>SUM(R52:Y56)</f>
        <v>0</v>
      </c>
      <c r="S57" s="2266"/>
      <c r="T57" s="2266"/>
      <c r="U57" s="2266"/>
      <c r="V57" s="2266"/>
      <c r="W57" s="2266"/>
      <c r="X57" s="2266"/>
      <c r="Y57" s="2266"/>
      <c r="Z57" s="2267">
        <f>SUM(Z52:AG56)</f>
        <v>0</v>
      </c>
      <c r="AA57" s="2267"/>
      <c r="AB57" s="2267"/>
      <c r="AC57" s="2267"/>
      <c r="AD57" s="2267"/>
      <c r="AE57" s="2267"/>
      <c r="AF57" s="2267"/>
      <c r="AG57" s="2267"/>
      <c r="AH57" s="2268"/>
      <c r="AI57" s="2268"/>
      <c r="AJ57" s="2268"/>
      <c r="AK57" s="2268"/>
      <c r="AL57" s="2268"/>
      <c r="AM57" s="2268"/>
      <c r="AN57" s="2268"/>
      <c r="AO57" s="2269"/>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55" t="s">
        <v>1883</v>
      </c>
      <c r="C59" s="2256"/>
      <c r="D59" s="2256"/>
      <c r="E59" s="2256"/>
      <c r="F59" s="2256"/>
      <c r="G59" s="2256"/>
      <c r="H59" s="2256"/>
      <c r="I59" s="2257"/>
      <c r="J59" s="2181" t="s">
        <v>2580</v>
      </c>
      <c r="K59" s="2181"/>
      <c r="L59" s="2181"/>
      <c r="M59" s="2181"/>
      <c r="N59" s="2181"/>
      <c r="O59" s="2181"/>
      <c r="P59" s="2181"/>
      <c r="Q59" s="2181"/>
      <c r="R59" s="2181"/>
      <c r="S59" s="2181"/>
      <c r="T59" s="2181"/>
      <c r="U59" s="2181"/>
      <c r="V59" s="2181"/>
      <c r="W59" s="2181"/>
      <c r="X59" s="2181"/>
      <c r="Y59" s="2181"/>
      <c r="Z59" s="2181"/>
      <c r="AA59" s="2181"/>
      <c r="AB59" s="2181"/>
      <c r="AC59" s="2181"/>
      <c r="AD59" s="2181"/>
      <c r="AE59" s="2181"/>
      <c r="AF59" s="2181"/>
      <c r="AG59" s="2181"/>
      <c r="AH59" s="2181"/>
      <c r="AI59" s="2181"/>
      <c r="AJ59" s="2181"/>
      <c r="AK59" s="2181"/>
      <c r="AL59" s="2181"/>
      <c r="AM59" s="2181"/>
      <c r="AN59" s="2181"/>
      <c r="AO59" s="2181"/>
      <c r="AP59" s="2181"/>
      <c r="AQ59" s="2181"/>
      <c r="AR59" s="2181"/>
      <c r="AS59" s="2181"/>
      <c r="AT59" s="2181"/>
      <c r="AU59" s="2181"/>
      <c r="AV59" s="2181"/>
      <c r="AW59" s="2182"/>
      <c r="AX59" s="1207"/>
      <c r="AY59" s="1207"/>
      <c r="AZ59" s="1207"/>
      <c r="BA59" s="1207"/>
      <c r="BB59" s="1207"/>
      <c r="BC59" s="1207"/>
      <c r="BD59" s="1207"/>
      <c r="BE59" s="1213"/>
    </row>
    <row r="60" spans="1:58" ht="15.75" customHeight="1">
      <c r="A60" s="1207"/>
      <c r="B60" s="2258" t="str">
        <f>IF(B52="", "", B52)</f>
        <v>Services Company 1</v>
      </c>
      <c r="C60" s="2259"/>
      <c r="D60" s="2259"/>
      <c r="E60" s="2259"/>
      <c r="F60" s="2259"/>
      <c r="G60" s="2259"/>
      <c r="H60" s="2259"/>
      <c r="I60" s="2260"/>
      <c r="J60" s="2261"/>
      <c r="K60" s="2262"/>
      <c r="L60" s="2262"/>
      <c r="M60" s="2262"/>
      <c r="N60" s="2262"/>
      <c r="O60" s="2262"/>
      <c r="P60" s="2262"/>
      <c r="Q60" s="2262"/>
      <c r="R60" s="2262"/>
      <c r="S60" s="2262"/>
      <c r="T60" s="2262"/>
      <c r="U60" s="2262"/>
      <c r="V60" s="2262"/>
      <c r="W60" s="2262"/>
      <c r="X60" s="2262"/>
      <c r="Y60" s="2262"/>
      <c r="Z60" s="2262"/>
      <c r="AA60" s="2262"/>
      <c r="AB60" s="2262"/>
      <c r="AC60" s="2262"/>
      <c r="AD60" s="2262"/>
      <c r="AE60" s="2262"/>
      <c r="AF60" s="2262"/>
      <c r="AG60" s="2262"/>
      <c r="AH60" s="2262"/>
      <c r="AI60" s="2262"/>
      <c r="AJ60" s="2262"/>
      <c r="AK60" s="2262"/>
      <c r="AL60" s="2262"/>
      <c r="AM60" s="2262"/>
      <c r="AN60" s="2262"/>
      <c r="AO60" s="2262"/>
      <c r="AP60" s="2262"/>
      <c r="AQ60" s="2262"/>
      <c r="AR60" s="2262"/>
      <c r="AS60" s="2262"/>
      <c r="AT60" s="2262"/>
      <c r="AU60" s="2262"/>
      <c r="AV60" s="2262"/>
      <c r="AW60" s="2263"/>
      <c r="AX60" s="1207"/>
      <c r="AY60" s="1207"/>
      <c r="AZ60" s="1207"/>
      <c r="BA60" s="1207"/>
      <c r="BB60" s="1207"/>
      <c r="BC60" s="1207"/>
      <c r="BD60" s="1207"/>
      <c r="BE60" s="1213"/>
    </row>
    <row r="61" spans="1:58" ht="15.75" customHeight="1">
      <c r="A61" s="1207"/>
      <c r="B61" s="2258" t="str">
        <f>IF(B53="", "", B53)</f>
        <v>Services Company 2</v>
      </c>
      <c r="C61" s="2259"/>
      <c r="D61" s="2259"/>
      <c r="E61" s="2259"/>
      <c r="F61" s="2259"/>
      <c r="G61" s="2259"/>
      <c r="H61" s="2259"/>
      <c r="I61" s="2260"/>
      <c r="J61" s="2261"/>
      <c r="K61" s="2262"/>
      <c r="L61" s="2262"/>
      <c r="M61" s="2262"/>
      <c r="N61" s="2262"/>
      <c r="O61" s="2262"/>
      <c r="P61" s="2262"/>
      <c r="Q61" s="2262"/>
      <c r="R61" s="2262"/>
      <c r="S61" s="2262"/>
      <c r="T61" s="2262"/>
      <c r="U61" s="2262"/>
      <c r="V61" s="2262"/>
      <c r="W61" s="2262"/>
      <c r="X61" s="2262"/>
      <c r="Y61" s="2262"/>
      <c r="Z61" s="2262"/>
      <c r="AA61" s="2262"/>
      <c r="AB61" s="2262"/>
      <c r="AC61" s="2262"/>
      <c r="AD61" s="2262"/>
      <c r="AE61" s="2262"/>
      <c r="AF61" s="2262"/>
      <c r="AG61" s="2262"/>
      <c r="AH61" s="2262"/>
      <c r="AI61" s="2262"/>
      <c r="AJ61" s="2262"/>
      <c r="AK61" s="2262"/>
      <c r="AL61" s="2262"/>
      <c r="AM61" s="2262"/>
      <c r="AN61" s="2262"/>
      <c r="AO61" s="2262"/>
      <c r="AP61" s="2262"/>
      <c r="AQ61" s="2262"/>
      <c r="AR61" s="2262"/>
      <c r="AS61" s="2262"/>
      <c r="AT61" s="2262"/>
      <c r="AU61" s="2262"/>
      <c r="AV61" s="2262"/>
      <c r="AW61" s="2263"/>
      <c r="AX61" s="1207"/>
      <c r="AY61" s="1207"/>
      <c r="AZ61" s="1207"/>
      <c r="BA61" s="1207"/>
      <c r="BB61" s="1207"/>
      <c r="BC61" s="1207"/>
      <c r="BD61" s="1207"/>
      <c r="BE61" s="1213"/>
    </row>
    <row r="62" spans="1:58" ht="15.75" customHeight="1">
      <c r="A62" s="1207"/>
      <c r="B62" s="2258" t="str">
        <f>IF(B54="", "", B54)</f>
        <v/>
      </c>
      <c r="C62" s="2259"/>
      <c r="D62" s="2259"/>
      <c r="E62" s="2259"/>
      <c r="F62" s="2259"/>
      <c r="G62" s="2259"/>
      <c r="H62" s="2259"/>
      <c r="I62" s="2260"/>
      <c r="J62" s="2261"/>
      <c r="K62" s="2262"/>
      <c r="L62" s="2262"/>
      <c r="M62" s="2262"/>
      <c r="N62" s="2262"/>
      <c r="O62" s="2262"/>
      <c r="P62" s="2262"/>
      <c r="Q62" s="2262"/>
      <c r="R62" s="2262"/>
      <c r="S62" s="2262"/>
      <c r="T62" s="2262"/>
      <c r="U62" s="2262"/>
      <c r="V62" s="2262"/>
      <c r="W62" s="2262"/>
      <c r="X62" s="2262"/>
      <c r="Y62" s="2262"/>
      <c r="Z62" s="2262"/>
      <c r="AA62" s="2262"/>
      <c r="AB62" s="2262"/>
      <c r="AC62" s="2262"/>
      <c r="AD62" s="2262"/>
      <c r="AE62" s="2262"/>
      <c r="AF62" s="2262"/>
      <c r="AG62" s="2262"/>
      <c r="AH62" s="2262"/>
      <c r="AI62" s="2262"/>
      <c r="AJ62" s="2262"/>
      <c r="AK62" s="2262"/>
      <c r="AL62" s="2262"/>
      <c r="AM62" s="2262"/>
      <c r="AN62" s="2262"/>
      <c r="AO62" s="2262"/>
      <c r="AP62" s="2262"/>
      <c r="AQ62" s="2262"/>
      <c r="AR62" s="2262"/>
      <c r="AS62" s="2262"/>
      <c r="AT62" s="2262"/>
      <c r="AU62" s="2262"/>
      <c r="AV62" s="2262"/>
      <c r="AW62" s="2263"/>
      <c r="AX62" s="1207"/>
      <c r="AY62" s="1207"/>
      <c r="AZ62" s="1207"/>
      <c r="BA62" s="1207"/>
      <c r="BB62" s="1207"/>
      <c r="BC62" s="1207"/>
      <c r="BD62" s="1207"/>
      <c r="BE62" s="1213"/>
    </row>
    <row r="63" spans="1:58" ht="15.75" customHeight="1">
      <c r="A63" s="1207"/>
      <c r="B63" s="2258" t="str">
        <f>IF(B55="", "", B55)</f>
        <v/>
      </c>
      <c r="C63" s="2259"/>
      <c r="D63" s="2259"/>
      <c r="E63" s="2259"/>
      <c r="F63" s="2259"/>
      <c r="G63" s="2259"/>
      <c r="H63" s="2259"/>
      <c r="I63" s="2260"/>
      <c r="J63" s="2261"/>
      <c r="K63" s="2262"/>
      <c r="L63" s="2262"/>
      <c r="M63" s="2262"/>
      <c r="N63" s="2262"/>
      <c r="O63" s="2262"/>
      <c r="P63" s="2262"/>
      <c r="Q63" s="2262"/>
      <c r="R63" s="2262"/>
      <c r="S63" s="2262"/>
      <c r="T63" s="2262"/>
      <c r="U63" s="2262"/>
      <c r="V63" s="2262"/>
      <c r="W63" s="2262"/>
      <c r="X63" s="2262"/>
      <c r="Y63" s="2262"/>
      <c r="Z63" s="2262"/>
      <c r="AA63" s="2262"/>
      <c r="AB63" s="2262"/>
      <c r="AC63" s="2262"/>
      <c r="AD63" s="2262"/>
      <c r="AE63" s="2262"/>
      <c r="AF63" s="2262"/>
      <c r="AG63" s="2262"/>
      <c r="AH63" s="2262"/>
      <c r="AI63" s="2262"/>
      <c r="AJ63" s="2262"/>
      <c r="AK63" s="2262"/>
      <c r="AL63" s="2262"/>
      <c r="AM63" s="2262"/>
      <c r="AN63" s="2262"/>
      <c r="AO63" s="2262"/>
      <c r="AP63" s="2262"/>
      <c r="AQ63" s="2262"/>
      <c r="AR63" s="2262"/>
      <c r="AS63" s="2262"/>
      <c r="AT63" s="2262"/>
      <c r="AU63" s="2262"/>
      <c r="AV63" s="2262"/>
      <c r="AW63" s="2263"/>
      <c r="AX63" s="1207"/>
      <c r="AY63" s="1207"/>
      <c r="AZ63" s="1207"/>
      <c r="BA63" s="1207"/>
      <c r="BB63" s="1207"/>
      <c r="BC63" s="1207"/>
      <c r="BD63" s="1207"/>
      <c r="BE63" s="1213"/>
    </row>
    <row r="64" spans="1:58" ht="15.75" customHeight="1" thickBot="1">
      <c r="A64" s="1207"/>
      <c r="B64" s="2283" t="str">
        <f>IF(B56="", "", B56)</f>
        <v/>
      </c>
      <c r="C64" s="2284"/>
      <c r="D64" s="2284"/>
      <c r="E64" s="2284"/>
      <c r="F64" s="2284"/>
      <c r="G64" s="2284"/>
      <c r="H64" s="2284"/>
      <c r="I64" s="2285"/>
      <c r="J64" s="2286"/>
      <c r="K64" s="2287"/>
      <c r="L64" s="2287"/>
      <c r="M64" s="2287"/>
      <c r="N64" s="2287"/>
      <c r="O64" s="2287"/>
      <c r="P64" s="2287"/>
      <c r="Q64" s="2287"/>
      <c r="R64" s="2287"/>
      <c r="S64" s="2287"/>
      <c r="T64" s="2287"/>
      <c r="U64" s="2287"/>
      <c r="V64" s="2287"/>
      <c r="W64" s="2287"/>
      <c r="X64" s="2287"/>
      <c r="Y64" s="2287"/>
      <c r="Z64" s="2287"/>
      <c r="AA64" s="2287"/>
      <c r="AB64" s="2287"/>
      <c r="AC64" s="2287"/>
      <c r="AD64" s="2287"/>
      <c r="AE64" s="2287"/>
      <c r="AF64" s="2287"/>
      <c r="AG64" s="2287"/>
      <c r="AH64" s="2287"/>
      <c r="AI64" s="2287"/>
      <c r="AJ64" s="2287"/>
      <c r="AK64" s="2287"/>
      <c r="AL64" s="2287"/>
      <c r="AM64" s="2287"/>
      <c r="AN64" s="2287"/>
      <c r="AO64" s="2287"/>
      <c r="AP64" s="2287"/>
      <c r="AQ64" s="2287"/>
      <c r="AR64" s="2287"/>
      <c r="AS64" s="2287"/>
      <c r="AT64" s="2287"/>
      <c r="AU64" s="2287"/>
      <c r="AV64" s="2287"/>
      <c r="AW64" s="2288"/>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1886</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80" t="s">
        <v>1887</v>
      </c>
      <c r="C68" s="2181"/>
      <c r="D68" s="2181"/>
      <c r="E68" s="2181"/>
      <c r="F68" s="2181"/>
      <c r="G68" s="2181"/>
      <c r="H68" s="2181"/>
      <c r="I68" s="2181"/>
      <c r="J68" s="2181"/>
      <c r="K68" s="2181"/>
      <c r="L68" s="2181"/>
      <c r="M68" s="2181"/>
      <c r="N68" s="2181"/>
      <c r="O68" s="2181"/>
      <c r="P68" s="2181"/>
      <c r="Q68" s="2181"/>
      <c r="R68" s="2181"/>
      <c r="S68" s="2181"/>
      <c r="T68" s="2181"/>
      <c r="U68" s="2181"/>
      <c r="V68" s="2181"/>
      <c r="W68" s="2181"/>
      <c r="X68" s="2181"/>
      <c r="Y68" s="2181"/>
      <c r="Z68" s="2181"/>
      <c r="AA68" s="2182"/>
      <c r="AB68" s="1207"/>
      <c r="AC68" s="2295" t="s">
        <v>1888</v>
      </c>
      <c r="AD68" s="2296"/>
      <c r="AE68" s="2296"/>
      <c r="AF68" s="2296"/>
      <c r="AG68" s="2296"/>
      <c r="AH68" s="2296"/>
      <c r="AI68" s="2296"/>
      <c r="AJ68" s="2296"/>
      <c r="AK68" s="2296"/>
      <c r="AL68" s="2296"/>
      <c r="AM68" s="2296"/>
      <c r="AN68" s="2296"/>
      <c r="AO68" s="2296"/>
      <c r="AP68" s="2296"/>
      <c r="AQ68" s="2296"/>
      <c r="AR68" s="2296"/>
      <c r="AS68" s="2296"/>
      <c r="AT68" s="2296"/>
      <c r="AU68" s="2296"/>
      <c r="AV68" s="2270" t="s">
        <v>679</v>
      </c>
      <c r="AW68" s="2271"/>
      <c r="AX68" s="2271"/>
      <c r="AY68" s="2271"/>
      <c r="AZ68" s="2271"/>
      <c r="BA68" s="2271"/>
      <c r="BB68" s="2271"/>
      <c r="BC68" s="2272"/>
      <c r="BD68" s="1207"/>
      <c r="BE68" s="1213"/>
      <c r="BM68" s="1218" t="s">
        <v>2581</v>
      </c>
    </row>
    <row r="69" spans="1:65" ht="15.75" customHeight="1" thickTop="1" thickBot="1">
      <c r="A69" s="1207"/>
      <c r="B69" s="2273" t="s">
        <v>1889</v>
      </c>
      <c r="C69" s="2274"/>
      <c r="D69" s="2274"/>
      <c r="E69" s="2274"/>
      <c r="F69" s="2274"/>
      <c r="G69" s="2274"/>
      <c r="H69" s="2274"/>
      <c r="I69" s="2274"/>
      <c r="J69" s="2274"/>
      <c r="K69" s="2274"/>
      <c r="L69" s="2274"/>
      <c r="M69" s="2274"/>
      <c r="N69" s="2274"/>
      <c r="O69" s="2275" t="s">
        <v>1890</v>
      </c>
      <c r="P69" s="2276"/>
      <c r="Q69" s="2276"/>
      <c r="R69" s="2276"/>
      <c r="S69" s="2276"/>
      <c r="T69" s="2276"/>
      <c r="U69" s="2276"/>
      <c r="V69" s="2276"/>
      <c r="W69" s="2276"/>
      <c r="X69" s="2276"/>
      <c r="Y69" s="2276"/>
      <c r="Z69" s="2276"/>
      <c r="AA69" s="2277"/>
      <c r="AB69" s="1207"/>
      <c r="AC69" s="2278" t="s">
        <v>1891</v>
      </c>
      <c r="AD69" s="2279"/>
      <c r="AE69" s="2279"/>
      <c r="AF69" s="2279"/>
      <c r="AG69" s="2279"/>
      <c r="AH69" s="2279"/>
      <c r="AI69" s="2279"/>
      <c r="AJ69" s="2279"/>
      <c r="AK69" s="2279"/>
      <c r="AL69" s="2279"/>
      <c r="AM69" s="2279"/>
      <c r="AN69" s="2279"/>
      <c r="AO69" s="2279"/>
      <c r="AP69" s="2279"/>
      <c r="AQ69" s="2279"/>
      <c r="AR69" s="2279"/>
      <c r="AS69" s="2279"/>
      <c r="AT69" s="2279"/>
      <c r="AU69" s="2279"/>
      <c r="AV69" s="2280"/>
      <c r="AW69" s="2281"/>
      <c r="AX69" s="2281"/>
      <c r="AY69" s="2281"/>
      <c r="AZ69" s="2281"/>
      <c r="BA69" s="2281"/>
      <c r="BB69" s="2281"/>
      <c r="BC69" s="2282"/>
      <c r="BD69" s="1207"/>
      <c r="BE69" s="1213"/>
      <c r="BM69" s="1219" t="s">
        <v>555</v>
      </c>
    </row>
    <row r="70" spans="1:65" ht="15.75" customHeight="1">
      <c r="A70" s="1207"/>
      <c r="B70" s="2231" t="s">
        <v>2582</v>
      </c>
      <c r="C70" s="2232"/>
      <c r="D70" s="2232"/>
      <c r="E70" s="2232"/>
      <c r="F70" s="2232"/>
      <c r="G70" s="2232"/>
      <c r="H70" s="2232"/>
      <c r="I70" s="2232"/>
      <c r="J70" s="2232"/>
      <c r="K70" s="2232"/>
      <c r="L70" s="2232"/>
      <c r="M70" s="2232"/>
      <c r="N70" s="2232"/>
      <c r="O70" s="2289">
        <v>0</v>
      </c>
      <c r="P70" s="2289"/>
      <c r="Q70" s="2289"/>
      <c r="R70" s="2289"/>
      <c r="S70" s="2289"/>
      <c r="T70" s="2289"/>
      <c r="U70" s="2289"/>
      <c r="V70" s="2289"/>
      <c r="W70" s="2289"/>
      <c r="X70" s="2289"/>
      <c r="Y70" s="2289"/>
      <c r="Z70" s="2289"/>
      <c r="AA70" s="2290"/>
      <c r="AB70" s="1207"/>
      <c r="AC70" s="2218" t="s">
        <v>1892</v>
      </c>
      <c r="AD70" s="2219"/>
      <c r="AE70" s="2219"/>
      <c r="AF70" s="2291"/>
      <c r="AG70" s="2291"/>
      <c r="AH70" s="2291"/>
      <c r="AI70" s="2291"/>
      <c r="AJ70" s="2291"/>
      <c r="AK70" s="2291"/>
      <c r="AL70" s="2291"/>
      <c r="AM70" s="2291"/>
      <c r="AN70" s="2291"/>
      <c r="AO70" s="2291"/>
      <c r="AP70" s="2291"/>
      <c r="AQ70" s="2291"/>
      <c r="AR70" s="2291"/>
      <c r="AS70" s="2291"/>
      <c r="AT70" s="2291"/>
      <c r="AU70" s="2292"/>
      <c r="AV70" s="1207"/>
      <c r="AW70" s="1207"/>
      <c r="AX70" s="1207"/>
      <c r="AY70" s="1207"/>
      <c r="AZ70" s="1207"/>
      <c r="BA70" s="1207"/>
      <c r="BB70" s="1207"/>
      <c r="BC70" s="1207"/>
      <c r="BD70" s="1207"/>
      <c r="BE70" s="1213"/>
      <c r="BM70" s="1220" t="s">
        <v>679</v>
      </c>
    </row>
    <row r="71" spans="1:65" ht="15.75" customHeight="1" thickBot="1">
      <c r="A71" s="1207"/>
      <c r="B71" s="2231" t="s">
        <v>2583</v>
      </c>
      <c r="C71" s="2232"/>
      <c r="D71" s="2232"/>
      <c r="E71" s="2232"/>
      <c r="F71" s="2232"/>
      <c r="G71" s="2232"/>
      <c r="H71" s="2232"/>
      <c r="I71" s="2232"/>
      <c r="J71" s="2232"/>
      <c r="K71" s="2232"/>
      <c r="L71" s="2232"/>
      <c r="M71" s="2232"/>
      <c r="N71" s="2232"/>
      <c r="O71" s="2289">
        <v>0</v>
      </c>
      <c r="P71" s="2289"/>
      <c r="Q71" s="2289"/>
      <c r="R71" s="2289"/>
      <c r="S71" s="2289"/>
      <c r="T71" s="2289"/>
      <c r="U71" s="2289"/>
      <c r="V71" s="2289"/>
      <c r="W71" s="2289"/>
      <c r="X71" s="2289"/>
      <c r="Y71" s="2289"/>
      <c r="Z71" s="2289"/>
      <c r="AA71" s="2290"/>
      <c r="AB71" s="1207"/>
      <c r="AC71" s="2293" t="s">
        <v>1893</v>
      </c>
      <c r="AD71" s="2294"/>
      <c r="AE71" s="2294"/>
      <c r="AF71" s="2287"/>
      <c r="AG71" s="2287"/>
      <c r="AH71" s="2287"/>
      <c r="AI71" s="2287"/>
      <c r="AJ71" s="2287"/>
      <c r="AK71" s="2287"/>
      <c r="AL71" s="2287"/>
      <c r="AM71" s="2287"/>
      <c r="AN71" s="2287"/>
      <c r="AO71" s="2287"/>
      <c r="AP71" s="2287"/>
      <c r="AQ71" s="2287"/>
      <c r="AR71" s="2287"/>
      <c r="AS71" s="2287"/>
      <c r="AT71" s="2287"/>
      <c r="AU71" s="2288"/>
      <c r="AV71" s="1207"/>
      <c r="AW71" s="1207"/>
      <c r="AX71" s="1207"/>
      <c r="AY71" s="1207"/>
      <c r="AZ71" s="1207"/>
      <c r="BA71" s="1207"/>
      <c r="BB71" s="1207"/>
      <c r="BC71" s="1207"/>
      <c r="BD71" s="1207"/>
      <c r="BE71" s="1213"/>
      <c r="BM71" s="1204" t="s">
        <v>2584</v>
      </c>
    </row>
    <row r="72" spans="1:65" ht="15.75" customHeight="1">
      <c r="A72" s="1207"/>
      <c r="B72" s="2231" t="s">
        <v>2585</v>
      </c>
      <c r="C72" s="2232"/>
      <c r="D72" s="2232"/>
      <c r="E72" s="2232"/>
      <c r="F72" s="2232"/>
      <c r="G72" s="2232"/>
      <c r="H72" s="2232"/>
      <c r="I72" s="2232"/>
      <c r="J72" s="2232"/>
      <c r="K72" s="2232"/>
      <c r="L72" s="2232"/>
      <c r="M72" s="2232"/>
      <c r="N72" s="2232"/>
      <c r="O72" s="2289">
        <v>0</v>
      </c>
      <c r="P72" s="2289"/>
      <c r="Q72" s="2289"/>
      <c r="R72" s="2289"/>
      <c r="S72" s="2289"/>
      <c r="T72" s="2289"/>
      <c r="U72" s="2289"/>
      <c r="V72" s="2289"/>
      <c r="W72" s="2289"/>
      <c r="X72" s="2289"/>
      <c r="Y72" s="2289"/>
      <c r="Z72" s="2289"/>
      <c r="AA72" s="2290"/>
      <c r="AB72" s="1207"/>
      <c r="AC72" s="2297" t="s">
        <v>2586</v>
      </c>
      <c r="AD72" s="2298"/>
      <c r="AE72" s="2298"/>
      <c r="AF72" s="2298"/>
      <c r="AG72" s="2298"/>
      <c r="AH72" s="2298"/>
      <c r="AI72" s="2298"/>
      <c r="AJ72" s="2298"/>
      <c r="AK72" s="2298"/>
      <c r="AL72" s="2298"/>
      <c r="AM72" s="2298"/>
      <c r="AN72" s="2298"/>
      <c r="AO72" s="2298"/>
      <c r="AP72" s="2298"/>
      <c r="AQ72" s="2298"/>
      <c r="AR72" s="2298"/>
      <c r="AS72" s="2298"/>
      <c r="AT72" s="2298"/>
      <c r="AU72" s="2298"/>
      <c r="AV72" s="2219"/>
      <c r="AW72" s="2219"/>
      <c r="AX72" s="2219"/>
      <c r="AY72" s="2219"/>
      <c r="AZ72" s="2219"/>
      <c r="BA72" s="2219"/>
      <c r="BB72" s="2219"/>
      <c r="BC72" s="2220"/>
      <c r="BD72" s="1207"/>
      <c r="BE72" s="1213"/>
    </row>
    <row r="73" spans="1:65" ht="15.75" customHeight="1">
      <c r="A73" s="1207"/>
      <c r="B73" s="2238" t="s">
        <v>2587</v>
      </c>
      <c r="C73" s="2239"/>
      <c r="D73" s="2239"/>
      <c r="E73" s="2239"/>
      <c r="F73" s="2239"/>
      <c r="G73" s="2239"/>
      <c r="H73" s="2239"/>
      <c r="I73" s="2239"/>
      <c r="J73" s="2239"/>
      <c r="K73" s="2239"/>
      <c r="L73" s="2239"/>
      <c r="M73" s="2239"/>
      <c r="N73" s="2239"/>
      <c r="O73" s="2289">
        <v>0</v>
      </c>
      <c r="P73" s="2289"/>
      <c r="Q73" s="2289"/>
      <c r="R73" s="2289"/>
      <c r="S73" s="2289"/>
      <c r="T73" s="2289"/>
      <c r="U73" s="2289"/>
      <c r="V73" s="2289"/>
      <c r="W73" s="2289"/>
      <c r="X73" s="2289"/>
      <c r="Y73" s="2289"/>
      <c r="Z73" s="2289"/>
      <c r="AA73" s="2290"/>
      <c r="AB73" s="1207"/>
      <c r="AC73" s="2299" t="s">
        <v>2260</v>
      </c>
      <c r="AD73" s="2300"/>
      <c r="AE73" s="2300"/>
      <c r="AF73" s="2300"/>
      <c r="AG73" s="2300"/>
      <c r="AH73" s="2300"/>
      <c r="AI73" s="2300"/>
      <c r="AJ73" s="2300"/>
      <c r="AK73" s="2300"/>
      <c r="AL73" s="2300"/>
      <c r="AM73" s="2300"/>
      <c r="AN73" s="2300"/>
      <c r="AO73" s="2300"/>
      <c r="AP73" s="2300"/>
      <c r="AQ73" s="2300"/>
      <c r="AR73" s="2300"/>
      <c r="AS73" s="2300"/>
      <c r="AT73" s="2300"/>
      <c r="AU73" s="2300"/>
      <c r="AV73" s="2300"/>
      <c r="AW73" s="2300"/>
      <c r="AX73" s="2300"/>
      <c r="AY73" s="2300"/>
      <c r="AZ73" s="2300"/>
      <c r="BA73" s="2300"/>
      <c r="BB73" s="2300"/>
      <c r="BC73" s="2301"/>
      <c r="BD73" s="1207"/>
      <c r="BE73" s="1213"/>
    </row>
    <row r="74" spans="1:65" ht="15.75" customHeight="1">
      <c r="A74" s="1207"/>
      <c r="B74" s="2305"/>
      <c r="C74" s="2250"/>
      <c r="D74" s="2250"/>
      <c r="E74" s="2250"/>
      <c r="F74" s="2250"/>
      <c r="G74" s="2250"/>
      <c r="H74" s="2250"/>
      <c r="I74" s="2250"/>
      <c r="J74" s="2250"/>
      <c r="K74" s="2250"/>
      <c r="L74" s="2250"/>
      <c r="M74" s="2250"/>
      <c r="N74" s="2250"/>
      <c r="O74" s="2289"/>
      <c r="P74" s="2289"/>
      <c r="Q74" s="2289"/>
      <c r="R74" s="2289"/>
      <c r="S74" s="2289"/>
      <c r="T74" s="2289"/>
      <c r="U74" s="2289"/>
      <c r="V74" s="2289"/>
      <c r="W74" s="2289"/>
      <c r="X74" s="2289"/>
      <c r="Y74" s="2289"/>
      <c r="Z74" s="2289"/>
      <c r="AA74" s="2290"/>
      <c r="AB74" s="1207"/>
      <c r="AC74" s="2299"/>
      <c r="AD74" s="2300"/>
      <c r="AE74" s="2300"/>
      <c r="AF74" s="2300"/>
      <c r="AG74" s="2300"/>
      <c r="AH74" s="2300"/>
      <c r="AI74" s="2300"/>
      <c r="AJ74" s="2300"/>
      <c r="AK74" s="2300"/>
      <c r="AL74" s="2300"/>
      <c r="AM74" s="2300"/>
      <c r="AN74" s="2300"/>
      <c r="AO74" s="2300"/>
      <c r="AP74" s="2300"/>
      <c r="AQ74" s="2300"/>
      <c r="AR74" s="2300"/>
      <c r="AS74" s="2300"/>
      <c r="AT74" s="2300"/>
      <c r="AU74" s="2300"/>
      <c r="AV74" s="2300"/>
      <c r="AW74" s="2300"/>
      <c r="AX74" s="2300"/>
      <c r="AY74" s="2300"/>
      <c r="AZ74" s="2300"/>
      <c r="BA74" s="2300"/>
      <c r="BB74" s="2300"/>
      <c r="BC74" s="2301"/>
      <c r="BD74" s="1207"/>
      <c r="BE74" s="1213"/>
    </row>
    <row r="75" spans="1:65" ht="15.75" customHeight="1" thickBot="1">
      <c r="A75" s="1207"/>
      <c r="B75" s="2306" t="s">
        <v>125</v>
      </c>
      <c r="C75" s="2307"/>
      <c r="D75" s="2307"/>
      <c r="E75" s="2307"/>
      <c r="F75" s="2307"/>
      <c r="G75" s="2307"/>
      <c r="H75" s="2307"/>
      <c r="I75" s="2307"/>
      <c r="J75" s="2307"/>
      <c r="K75" s="2307"/>
      <c r="L75" s="2307"/>
      <c r="M75" s="2307"/>
      <c r="N75" s="2307"/>
      <c r="O75" s="2308">
        <f>SUM(O70:AA74)</f>
        <v>0</v>
      </c>
      <c r="P75" s="2308"/>
      <c r="Q75" s="2308"/>
      <c r="R75" s="2308"/>
      <c r="S75" s="2308"/>
      <c r="T75" s="2308"/>
      <c r="U75" s="2308"/>
      <c r="V75" s="2308"/>
      <c r="W75" s="2308"/>
      <c r="X75" s="2308"/>
      <c r="Y75" s="2308"/>
      <c r="Z75" s="2308"/>
      <c r="AA75" s="2309"/>
      <c r="AB75" s="1207"/>
      <c r="AC75" s="2299"/>
      <c r="AD75" s="2300"/>
      <c r="AE75" s="2300"/>
      <c r="AF75" s="2300"/>
      <c r="AG75" s="2300"/>
      <c r="AH75" s="2300"/>
      <c r="AI75" s="2300"/>
      <c r="AJ75" s="2300"/>
      <c r="AK75" s="2300"/>
      <c r="AL75" s="2300"/>
      <c r="AM75" s="2300"/>
      <c r="AN75" s="2300"/>
      <c r="AO75" s="2300"/>
      <c r="AP75" s="2300"/>
      <c r="AQ75" s="2300"/>
      <c r="AR75" s="2300"/>
      <c r="AS75" s="2300"/>
      <c r="AT75" s="2300"/>
      <c r="AU75" s="2300"/>
      <c r="AV75" s="2300"/>
      <c r="AW75" s="2300"/>
      <c r="AX75" s="2300"/>
      <c r="AY75" s="2300"/>
      <c r="AZ75" s="2300"/>
      <c r="BA75" s="2300"/>
      <c r="BB75" s="2300"/>
      <c r="BC75" s="2301"/>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99"/>
      <c r="AD76" s="2300"/>
      <c r="AE76" s="2300"/>
      <c r="AF76" s="2300"/>
      <c r="AG76" s="2300"/>
      <c r="AH76" s="2300"/>
      <c r="AI76" s="2300"/>
      <c r="AJ76" s="2300"/>
      <c r="AK76" s="2300"/>
      <c r="AL76" s="2300"/>
      <c r="AM76" s="2300"/>
      <c r="AN76" s="2300"/>
      <c r="AO76" s="2300"/>
      <c r="AP76" s="2300"/>
      <c r="AQ76" s="2300"/>
      <c r="AR76" s="2300"/>
      <c r="AS76" s="2300"/>
      <c r="AT76" s="2300"/>
      <c r="AU76" s="2300"/>
      <c r="AV76" s="2300"/>
      <c r="AW76" s="2300"/>
      <c r="AX76" s="2300"/>
      <c r="AY76" s="2300"/>
      <c r="AZ76" s="2300"/>
      <c r="BA76" s="2300"/>
      <c r="BB76" s="2300"/>
      <c r="BC76" s="2301"/>
      <c r="BD76" s="1207"/>
      <c r="BE76" s="1213"/>
    </row>
    <row r="77" spans="1:65" ht="15.75" customHeight="1" thickBot="1">
      <c r="A77" s="1207"/>
      <c r="B77" s="1221" t="s">
        <v>1894</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02"/>
      <c r="AD77" s="2303"/>
      <c r="AE77" s="2303"/>
      <c r="AF77" s="2303"/>
      <c r="AG77" s="2303"/>
      <c r="AH77" s="2303"/>
      <c r="AI77" s="2303"/>
      <c r="AJ77" s="2303"/>
      <c r="AK77" s="2303"/>
      <c r="AL77" s="2303"/>
      <c r="AM77" s="2303"/>
      <c r="AN77" s="2303"/>
      <c r="AO77" s="2303"/>
      <c r="AP77" s="2303"/>
      <c r="AQ77" s="2303"/>
      <c r="AR77" s="2303"/>
      <c r="AS77" s="2303"/>
      <c r="AT77" s="2303"/>
      <c r="AU77" s="2303"/>
      <c r="AV77" s="2303"/>
      <c r="AW77" s="2303"/>
      <c r="AX77" s="2303"/>
      <c r="AY77" s="2303"/>
      <c r="AZ77" s="2303"/>
      <c r="BA77" s="2303"/>
      <c r="BB77" s="2303"/>
      <c r="BC77" s="2304"/>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10" t="s">
        <v>2243</v>
      </c>
      <c r="C79" s="2311"/>
      <c r="D79" s="2311"/>
      <c r="E79" s="2311"/>
      <c r="F79" s="2311"/>
      <c r="G79" s="2311"/>
      <c r="H79" s="2311"/>
      <c r="I79" s="2311"/>
      <c r="J79" s="2311"/>
      <c r="K79" s="2311"/>
      <c r="L79" s="2311"/>
      <c r="M79" s="2311"/>
      <c r="N79" s="2311"/>
      <c r="O79" s="2311"/>
      <c r="P79" s="2311"/>
      <c r="Q79" s="2311"/>
      <c r="R79" s="2311"/>
      <c r="S79" s="2311"/>
      <c r="T79" s="2311"/>
      <c r="U79" s="2311"/>
      <c r="V79" s="2311"/>
      <c r="W79" s="2311"/>
      <c r="X79" s="2311"/>
      <c r="Y79" s="2311"/>
      <c r="Z79" s="2311"/>
      <c r="AA79" s="2311"/>
      <c r="AB79" s="2311"/>
      <c r="AC79" s="2311"/>
      <c r="AD79" s="2311"/>
      <c r="AE79" s="2311"/>
      <c r="AF79" s="2311"/>
      <c r="AG79" s="2311"/>
      <c r="AH79" s="2312"/>
      <c r="AI79" s="1207"/>
      <c r="AJ79" s="2313" t="s">
        <v>2588</v>
      </c>
      <c r="AK79" s="2314"/>
      <c r="AL79" s="2314"/>
      <c r="AM79" s="2314"/>
      <c r="AN79" s="2314"/>
      <c r="AO79" s="2314"/>
      <c r="AP79" s="2314"/>
      <c r="AQ79" s="2314"/>
      <c r="AR79" s="2314"/>
      <c r="AS79" s="2314"/>
      <c r="AT79" s="2314"/>
      <c r="AU79" s="2314"/>
      <c r="AV79" s="2314"/>
      <c r="AW79" s="2314"/>
      <c r="AX79" s="2314"/>
      <c r="AY79" s="2317" t="s">
        <v>555</v>
      </c>
      <c r="AZ79" s="2317"/>
      <c r="BA79" s="2317"/>
      <c r="BB79" s="2318"/>
      <c r="BC79" s="1207"/>
      <c r="BD79" s="1207"/>
      <c r="BE79" s="1213"/>
    </row>
    <row r="80" spans="1:65" ht="15.75" customHeight="1">
      <c r="A80" s="1207"/>
      <c r="B80" s="2246"/>
      <c r="C80" s="2247"/>
      <c r="D80" s="2247"/>
      <c r="E80" s="2247"/>
      <c r="F80" s="2247"/>
      <c r="G80" s="2247"/>
      <c r="H80" s="2247"/>
      <c r="I80" s="2247" t="s">
        <v>1895</v>
      </c>
      <c r="J80" s="2247"/>
      <c r="K80" s="2247"/>
      <c r="L80" s="2247"/>
      <c r="M80" s="2247"/>
      <c r="N80" s="2247"/>
      <c r="O80" s="2247" t="s">
        <v>1896</v>
      </c>
      <c r="P80" s="2247"/>
      <c r="Q80" s="2247"/>
      <c r="R80" s="2247"/>
      <c r="S80" s="2247"/>
      <c r="T80" s="2247"/>
      <c r="U80" s="2247"/>
      <c r="V80" s="2321" t="s">
        <v>2261</v>
      </c>
      <c r="W80" s="2321"/>
      <c r="X80" s="2321"/>
      <c r="Y80" s="2321"/>
      <c r="Z80" s="2321"/>
      <c r="AA80" s="2321"/>
      <c r="AB80" s="2226" t="s">
        <v>1897</v>
      </c>
      <c r="AC80" s="2226"/>
      <c r="AD80" s="2226"/>
      <c r="AE80" s="2226"/>
      <c r="AF80" s="2226"/>
      <c r="AG80" s="2226"/>
      <c r="AH80" s="2227"/>
      <c r="AI80" s="1207"/>
      <c r="AJ80" s="2315"/>
      <c r="AK80" s="2316"/>
      <c r="AL80" s="2316"/>
      <c r="AM80" s="2316"/>
      <c r="AN80" s="2316"/>
      <c r="AO80" s="2316"/>
      <c r="AP80" s="2316"/>
      <c r="AQ80" s="2316"/>
      <c r="AR80" s="2316"/>
      <c r="AS80" s="2316"/>
      <c r="AT80" s="2316"/>
      <c r="AU80" s="2316"/>
      <c r="AV80" s="2316"/>
      <c r="AW80" s="2316"/>
      <c r="AX80" s="2316"/>
      <c r="AY80" s="2319"/>
      <c r="AZ80" s="2319"/>
      <c r="BA80" s="2319"/>
      <c r="BB80" s="2320"/>
      <c r="BC80" s="1207"/>
      <c r="BD80" s="1207"/>
      <c r="BE80" s="1213"/>
    </row>
    <row r="81" spans="1:57" ht="15.75" customHeight="1">
      <c r="A81" s="1207"/>
      <c r="B81" s="2246"/>
      <c r="C81" s="2247"/>
      <c r="D81" s="2247"/>
      <c r="E81" s="2247"/>
      <c r="F81" s="2247"/>
      <c r="G81" s="2247"/>
      <c r="H81" s="2247"/>
      <c r="I81" s="2247"/>
      <c r="J81" s="2247"/>
      <c r="K81" s="2247"/>
      <c r="L81" s="2247"/>
      <c r="M81" s="2247"/>
      <c r="N81" s="2247"/>
      <c r="O81" s="2247"/>
      <c r="P81" s="2247"/>
      <c r="Q81" s="2247"/>
      <c r="R81" s="2247"/>
      <c r="S81" s="2247"/>
      <c r="T81" s="2247"/>
      <c r="U81" s="2247"/>
      <c r="V81" s="2321"/>
      <c r="W81" s="2321"/>
      <c r="X81" s="2321"/>
      <c r="Y81" s="2321"/>
      <c r="Z81" s="2321"/>
      <c r="AA81" s="2321"/>
      <c r="AB81" s="2226"/>
      <c r="AC81" s="2226"/>
      <c r="AD81" s="2226"/>
      <c r="AE81" s="2226"/>
      <c r="AF81" s="2226"/>
      <c r="AG81" s="2226"/>
      <c r="AH81" s="2227"/>
      <c r="AI81" s="1207"/>
      <c r="AJ81" s="2315"/>
      <c r="AK81" s="2316"/>
      <c r="AL81" s="2316"/>
      <c r="AM81" s="2316"/>
      <c r="AN81" s="2316"/>
      <c r="AO81" s="2316"/>
      <c r="AP81" s="2316"/>
      <c r="AQ81" s="2316"/>
      <c r="AR81" s="2316"/>
      <c r="AS81" s="2316"/>
      <c r="AT81" s="2316"/>
      <c r="AU81" s="2316"/>
      <c r="AV81" s="2316"/>
      <c r="AW81" s="2316"/>
      <c r="AX81" s="2316"/>
      <c r="AY81" s="2319"/>
      <c r="AZ81" s="2319"/>
      <c r="BA81" s="2319"/>
      <c r="BB81" s="2320"/>
      <c r="BC81" s="1207"/>
      <c r="BD81" s="1207"/>
      <c r="BE81" s="1213"/>
    </row>
    <row r="82" spans="1:57" ht="15.75" customHeight="1">
      <c r="A82" s="1207"/>
      <c r="B82" s="2246" t="s">
        <v>2244</v>
      </c>
      <c r="C82" s="2247"/>
      <c r="D82" s="2247"/>
      <c r="E82" s="2247"/>
      <c r="F82" s="2247"/>
      <c r="G82" s="2247"/>
      <c r="H82" s="2247"/>
      <c r="I82" s="2322">
        <v>0</v>
      </c>
      <c r="J82" s="2322"/>
      <c r="K82" s="2322"/>
      <c r="L82" s="2322"/>
      <c r="M82" s="2322"/>
      <c r="N82" s="2322"/>
      <c r="O82" s="2322">
        <v>0</v>
      </c>
      <c r="P82" s="2322"/>
      <c r="Q82" s="2322"/>
      <c r="R82" s="2322"/>
      <c r="S82" s="2322"/>
      <c r="T82" s="2322"/>
      <c r="U82" s="2322"/>
      <c r="V82" s="2322">
        <v>0</v>
      </c>
      <c r="W82" s="2322"/>
      <c r="X82" s="2322"/>
      <c r="Y82" s="2322"/>
      <c r="Z82" s="2322"/>
      <c r="AA82" s="2322"/>
      <c r="AB82" s="2322">
        <v>0</v>
      </c>
      <c r="AC82" s="2322"/>
      <c r="AD82" s="2322"/>
      <c r="AE82" s="2322"/>
      <c r="AF82" s="2322"/>
      <c r="AG82" s="2322"/>
      <c r="AH82" s="2331"/>
      <c r="AI82" s="1207"/>
      <c r="AJ82" s="2315"/>
      <c r="AK82" s="2316"/>
      <c r="AL82" s="2316"/>
      <c r="AM82" s="2316"/>
      <c r="AN82" s="2316"/>
      <c r="AO82" s="2316"/>
      <c r="AP82" s="2316"/>
      <c r="AQ82" s="2316"/>
      <c r="AR82" s="2316"/>
      <c r="AS82" s="2316"/>
      <c r="AT82" s="2316"/>
      <c r="AU82" s="2316"/>
      <c r="AV82" s="2316"/>
      <c r="AW82" s="2316"/>
      <c r="AX82" s="2316"/>
      <c r="AY82" s="2319"/>
      <c r="AZ82" s="2319"/>
      <c r="BA82" s="2319"/>
      <c r="BB82" s="2320"/>
      <c r="BC82" s="1207"/>
      <c r="BD82" s="1207"/>
      <c r="BE82" s="1213"/>
    </row>
    <row r="83" spans="1:57" ht="15.75" customHeight="1">
      <c r="A83" s="1207"/>
      <c r="B83" s="2246" t="s">
        <v>2245</v>
      </c>
      <c r="C83" s="2247"/>
      <c r="D83" s="2247"/>
      <c r="E83" s="2247"/>
      <c r="F83" s="2247"/>
      <c r="G83" s="2247"/>
      <c r="H83" s="2247"/>
      <c r="I83" s="2322">
        <v>0</v>
      </c>
      <c r="J83" s="2322"/>
      <c r="K83" s="2322"/>
      <c r="L83" s="2322"/>
      <c r="M83" s="2322"/>
      <c r="N83" s="2322"/>
      <c r="O83" s="2322">
        <v>0</v>
      </c>
      <c r="P83" s="2322"/>
      <c r="Q83" s="2322"/>
      <c r="R83" s="2322"/>
      <c r="S83" s="2322"/>
      <c r="T83" s="2322"/>
      <c r="U83" s="2322"/>
      <c r="V83" s="2322">
        <v>0</v>
      </c>
      <c r="W83" s="2322"/>
      <c r="X83" s="2322"/>
      <c r="Y83" s="2322"/>
      <c r="Z83" s="2322"/>
      <c r="AA83" s="2322"/>
      <c r="AB83" s="2322">
        <v>0</v>
      </c>
      <c r="AC83" s="2322"/>
      <c r="AD83" s="2322"/>
      <c r="AE83" s="2322"/>
      <c r="AF83" s="2322"/>
      <c r="AG83" s="2322"/>
      <c r="AH83" s="2331"/>
      <c r="AI83" s="1207"/>
      <c r="AJ83" s="2323" t="s">
        <v>2589</v>
      </c>
      <c r="AK83" s="2324"/>
      <c r="AL83" s="2324"/>
      <c r="AM83" s="2324"/>
      <c r="AN83" s="2324"/>
      <c r="AO83" s="2324"/>
      <c r="AP83" s="2324"/>
      <c r="AQ83" s="2324"/>
      <c r="AR83" s="2324"/>
      <c r="AS83" s="2324"/>
      <c r="AT83" s="2324"/>
      <c r="AU83" s="2324"/>
      <c r="AV83" s="2324"/>
      <c r="AW83" s="2324"/>
      <c r="AX83" s="2324"/>
      <c r="AY83" s="2324"/>
      <c r="AZ83" s="2324"/>
      <c r="BA83" s="2324"/>
      <c r="BB83" s="2325"/>
      <c r="BC83" s="1207"/>
      <c r="BD83" s="1207"/>
      <c r="BE83" s="1213"/>
    </row>
    <row r="84" spans="1:57" ht="15.75" customHeight="1" thickBot="1">
      <c r="A84" s="1207"/>
      <c r="B84" s="2264" t="s">
        <v>1898</v>
      </c>
      <c r="C84" s="2265"/>
      <c r="D84" s="2265"/>
      <c r="E84" s="2265"/>
      <c r="F84" s="2265"/>
      <c r="G84" s="2265"/>
      <c r="H84" s="2265"/>
      <c r="I84" s="2329">
        <v>0</v>
      </c>
      <c r="J84" s="2329"/>
      <c r="K84" s="2329"/>
      <c r="L84" s="2329"/>
      <c r="M84" s="2329"/>
      <c r="N84" s="2329"/>
      <c r="O84" s="2329">
        <v>0</v>
      </c>
      <c r="P84" s="2329"/>
      <c r="Q84" s="2329"/>
      <c r="R84" s="2329"/>
      <c r="S84" s="2329"/>
      <c r="T84" s="2329"/>
      <c r="U84" s="2329"/>
      <c r="V84" s="2329">
        <v>0</v>
      </c>
      <c r="W84" s="2329"/>
      <c r="X84" s="2329"/>
      <c r="Y84" s="2329"/>
      <c r="Z84" s="2329"/>
      <c r="AA84" s="2329"/>
      <c r="AB84" s="2329">
        <v>0</v>
      </c>
      <c r="AC84" s="2329"/>
      <c r="AD84" s="2329"/>
      <c r="AE84" s="2329"/>
      <c r="AF84" s="2329"/>
      <c r="AG84" s="2329"/>
      <c r="AH84" s="2330"/>
      <c r="AI84" s="1207"/>
      <c r="AJ84" s="2326"/>
      <c r="AK84" s="2327"/>
      <c r="AL84" s="2327"/>
      <c r="AM84" s="2327"/>
      <c r="AN84" s="2327"/>
      <c r="AO84" s="2327"/>
      <c r="AP84" s="2327"/>
      <c r="AQ84" s="2327"/>
      <c r="AR84" s="2327"/>
      <c r="AS84" s="2327"/>
      <c r="AT84" s="2327"/>
      <c r="AU84" s="2327"/>
      <c r="AV84" s="2327"/>
      <c r="AW84" s="2327"/>
      <c r="AX84" s="2327"/>
      <c r="AY84" s="2327"/>
      <c r="AZ84" s="2327"/>
      <c r="BA84" s="2327"/>
      <c r="BB84" s="2328"/>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1899</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95" t="s">
        <v>1900</v>
      </c>
      <c r="C88" s="2296"/>
      <c r="D88" s="2296"/>
      <c r="E88" s="2296"/>
      <c r="F88" s="2296"/>
      <c r="G88" s="2296"/>
      <c r="H88" s="2296"/>
      <c r="I88" s="2296"/>
      <c r="J88" s="2296"/>
      <c r="K88" s="2296"/>
      <c r="L88" s="2296"/>
      <c r="M88" s="2296"/>
      <c r="N88" s="2296"/>
      <c r="O88" s="2296"/>
      <c r="P88" s="2296"/>
      <c r="Q88" s="2296"/>
      <c r="R88" s="2296"/>
      <c r="S88" s="2296"/>
      <c r="T88" s="2296"/>
      <c r="U88" s="2296"/>
      <c r="V88" s="2296"/>
      <c r="W88" s="2296"/>
      <c r="X88" s="2296"/>
      <c r="Y88" s="2296"/>
      <c r="Z88" s="2296"/>
      <c r="AA88" s="2296"/>
      <c r="AB88" s="2296"/>
      <c r="AC88" s="2296"/>
      <c r="AD88" s="2296"/>
      <c r="AE88" s="2296"/>
      <c r="AF88" s="2296"/>
      <c r="AG88" s="2296"/>
      <c r="AH88" s="2332"/>
      <c r="AI88" s="1207"/>
      <c r="AJ88" s="2313" t="s">
        <v>2590</v>
      </c>
      <c r="AK88" s="2314"/>
      <c r="AL88" s="2314"/>
      <c r="AM88" s="2314"/>
      <c r="AN88" s="2314"/>
      <c r="AO88" s="2314"/>
      <c r="AP88" s="2314"/>
      <c r="AQ88" s="2314"/>
      <c r="AR88" s="2314"/>
      <c r="AS88" s="2314"/>
      <c r="AT88" s="2314"/>
      <c r="AU88" s="2314"/>
      <c r="AV88" s="2314"/>
      <c r="AW88" s="2314"/>
      <c r="AX88" s="2314"/>
      <c r="AY88" s="2317" t="s">
        <v>555</v>
      </c>
      <c r="AZ88" s="2317"/>
      <c r="BA88" s="2317"/>
      <c r="BB88" s="2318"/>
      <c r="BC88" s="1207"/>
      <c r="BD88" s="1207"/>
      <c r="BE88" s="1213"/>
    </row>
    <row r="89" spans="1:57" ht="16.5" customHeight="1">
      <c r="A89" s="1207"/>
      <c r="B89" s="2246"/>
      <c r="C89" s="2247"/>
      <c r="D89" s="2247"/>
      <c r="E89" s="2247"/>
      <c r="F89" s="2247"/>
      <c r="G89" s="2247"/>
      <c r="H89" s="2247"/>
      <c r="I89" s="2247" t="s">
        <v>1895</v>
      </c>
      <c r="J89" s="2247"/>
      <c r="K89" s="2247"/>
      <c r="L89" s="2247"/>
      <c r="M89" s="2247"/>
      <c r="N89" s="2247"/>
      <c r="O89" s="2247" t="s">
        <v>1896</v>
      </c>
      <c r="P89" s="2247"/>
      <c r="Q89" s="2247"/>
      <c r="R89" s="2247"/>
      <c r="S89" s="2247"/>
      <c r="T89" s="2247"/>
      <c r="U89" s="2247"/>
      <c r="V89" s="2321" t="s">
        <v>2261</v>
      </c>
      <c r="W89" s="2321"/>
      <c r="X89" s="2321"/>
      <c r="Y89" s="2321"/>
      <c r="Z89" s="2321"/>
      <c r="AA89" s="2321"/>
      <c r="AB89" s="2226" t="s">
        <v>1897</v>
      </c>
      <c r="AC89" s="2226"/>
      <c r="AD89" s="2226"/>
      <c r="AE89" s="2226"/>
      <c r="AF89" s="2226"/>
      <c r="AG89" s="2226"/>
      <c r="AH89" s="2227"/>
      <c r="AI89" s="1207"/>
      <c r="AJ89" s="2315"/>
      <c r="AK89" s="2316"/>
      <c r="AL89" s="2316"/>
      <c r="AM89" s="2316"/>
      <c r="AN89" s="2316"/>
      <c r="AO89" s="2316"/>
      <c r="AP89" s="2316"/>
      <c r="AQ89" s="2316"/>
      <c r="AR89" s="2316"/>
      <c r="AS89" s="2316"/>
      <c r="AT89" s="2316"/>
      <c r="AU89" s="2316"/>
      <c r="AV89" s="2316"/>
      <c r="AW89" s="2316"/>
      <c r="AX89" s="2316"/>
      <c r="AY89" s="2319"/>
      <c r="AZ89" s="2319"/>
      <c r="BA89" s="2319"/>
      <c r="BB89" s="2320"/>
      <c r="BC89" s="1207"/>
      <c r="BD89" s="1207"/>
      <c r="BE89" s="1213"/>
    </row>
    <row r="90" spans="1:57" ht="16.5" customHeight="1">
      <c r="A90" s="1207"/>
      <c r="B90" s="2246"/>
      <c r="C90" s="2247"/>
      <c r="D90" s="2247"/>
      <c r="E90" s="2247"/>
      <c r="F90" s="2247"/>
      <c r="G90" s="2247"/>
      <c r="H90" s="2247"/>
      <c r="I90" s="2247"/>
      <c r="J90" s="2247"/>
      <c r="K90" s="2247"/>
      <c r="L90" s="2247"/>
      <c r="M90" s="2247"/>
      <c r="N90" s="2247"/>
      <c r="O90" s="2247"/>
      <c r="P90" s="2247"/>
      <c r="Q90" s="2247"/>
      <c r="R90" s="2247"/>
      <c r="S90" s="2247"/>
      <c r="T90" s="2247"/>
      <c r="U90" s="2247"/>
      <c r="V90" s="2321"/>
      <c r="W90" s="2321"/>
      <c r="X90" s="2321"/>
      <c r="Y90" s="2321"/>
      <c r="Z90" s="2321"/>
      <c r="AA90" s="2321"/>
      <c r="AB90" s="2226"/>
      <c r="AC90" s="2226"/>
      <c r="AD90" s="2226"/>
      <c r="AE90" s="2226"/>
      <c r="AF90" s="2226"/>
      <c r="AG90" s="2226"/>
      <c r="AH90" s="2227"/>
      <c r="AI90" s="1207"/>
      <c r="AJ90" s="2315"/>
      <c r="AK90" s="2316"/>
      <c r="AL90" s="2316"/>
      <c r="AM90" s="2316"/>
      <c r="AN90" s="2316"/>
      <c r="AO90" s="2316"/>
      <c r="AP90" s="2316"/>
      <c r="AQ90" s="2316"/>
      <c r="AR90" s="2316"/>
      <c r="AS90" s="2316"/>
      <c r="AT90" s="2316"/>
      <c r="AU90" s="2316"/>
      <c r="AV90" s="2316"/>
      <c r="AW90" s="2316"/>
      <c r="AX90" s="2316"/>
      <c r="AY90" s="2319"/>
      <c r="AZ90" s="2319"/>
      <c r="BA90" s="2319"/>
      <c r="BB90" s="2320"/>
      <c r="BC90" s="1207"/>
      <c r="BD90" s="1207"/>
      <c r="BE90" s="1213"/>
    </row>
    <row r="91" spans="1:57" ht="15.75" customHeight="1">
      <c r="A91" s="1207"/>
      <c r="B91" s="2246" t="s">
        <v>2244</v>
      </c>
      <c r="C91" s="2247"/>
      <c r="D91" s="2247"/>
      <c r="E91" s="2247"/>
      <c r="F91" s="2247"/>
      <c r="G91" s="2247"/>
      <c r="H91" s="2247"/>
      <c r="I91" s="2322">
        <v>0</v>
      </c>
      <c r="J91" s="2322"/>
      <c r="K91" s="2322"/>
      <c r="L91" s="2322"/>
      <c r="M91" s="2322"/>
      <c r="N91" s="2322"/>
      <c r="O91" s="2322">
        <v>0</v>
      </c>
      <c r="P91" s="2322"/>
      <c r="Q91" s="2322"/>
      <c r="R91" s="2322"/>
      <c r="S91" s="2322"/>
      <c r="T91" s="2322"/>
      <c r="U91" s="2322"/>
      <c r="V91" s="2322">
        <v>0</v>
      </c>
      <c r="W91" s="2322"/>
      <c r="X91" s="2322"/>
      <c r="Y91" s="2322"/>
      <c r="Z91" s="2322"/>
      <c r="AA91" s="2322"/>
      <c r="AB91" s="2322">
        <v>0</v>
      </c>
      <c r="AC91" s="2322"/>
      <c r="AD91" s="2322"/>
      <c r="AE91" s="2322"/>
      <c r="AF91" s="2322"/>
      <c r="AG91" s="2322"/>
      <c r="AH91" s="2331"/>
      <c r="AI91" s="1207"/>
      <c r="AJ91" s="2315"/>
      <c r="AK91" s="2316"/>
      <c r="AL91" s="2316"/>
      <c r="AM91" s="2316"/>
      <c r="AN91" s="2316"/>
      <c r="AO91" s="2316"/>
      <c r="AP91" s="2316"/>
      <c r="AQ91" s="2316"/>
      <c r="AR91" s="2316"/>
      <c r="AS91" s="2316"/>
      <c r="AT91" s="2316"/>
      <c r="AU91" s="2316"/>
      <c r="AV91" s="2316"/>
      <c r="AW91" s="2316"/>
      <c r="AX91" s="2316"/>
      <c r="AY91" s="2319"/>
      <c r="AZ91" s="2319"/>
      <c r="BA91" s="2319"/>
      <c r="BB91" s="2320"/>
      <c r="BC91" s="1207"/>
      <c r="BD91" s="1207"/>
      <c r="BE91" s="1213"/>
    </row>
    <row r="92" spans="1:57" ht="15.75" customHeight="1">
      <c r="A92" s="1207"/>
      <c r="B92" s="2246" t="s">
        <v>2245</v>
      </c>
      <c r="C92" s="2247"/>
      <c r="D92" s="2247"/>
      <c r="E92" s="2247"/>
      <c r="F92" s="2247"/>
      <c r="G92" s="2247"/>
      <c r="H92" s="2247"/>
      <c r="I92" s="2322">
        <v>0</v>
      </c>
      <c r="J92" s="2322"/>
      <c r="K92" s="2322"/>
      <c r="L92" s="2322"/>
      <c r="M92" s="2322"/>
      <c r="N92" s="2322"/>
      <c r="O92" s="2322">
        <v>0</v>
      </c>
      <c r="P92" s="2322"/>
      <c r="Q92" s="2322"/>
      <c r="R92" s="2322"/>
      <c r="S92" s="2322"/>
      <c r="T92" s="2322"/>
      <c r="U92" s="2322"/>
      <c r="V92" s="2322">
        <v>0</v>
      </c>
      <c r="W92" s="2322"/>
      <c r="X92" s="2322"/>
      <c r="Y92" s="2322"/>
      <c r="Z92" s="2322"/>
      <c r="AA92" s="2322"/>
      <c r="AB92" s="2322">
        <v>0</v>
      </c>
      <c r="AC92" s="2322"/>
      <c r="AD92" s="2322"/>
      <c r="AE92" s="2322"/>
      <c r="AF92" s="2322"/>
      <c r="AG92" s="2322"/>
      <c r="AH92" s="2331"/>
      <c r="AI92" s="1207"/>
      <c r="AJ92" s="2323" t="s">
        <v>2262</v>
      </c>
      <c r="AK92" s="2324"/>
      <c r="AL92" s="2324"/>
      <c r="AM92" s="2324"/>
      <c r="AN92" s="2324"/>
      <c r="AO92" s="2324"/>
      <c r="AP92" s="2324"/>
      <c r="AQ92" s="2324"/>
      <c r="AR92" s="2324"/>
      <c r="AS92" s="2324"/>
      <c r="AT92" s="2324"/>
      <c r="AU92" s="2324"/>
      <c r="AV92" s="2324"/>
      <c r="AW92" s="2324"/>
      <c r="AX92" s="2324"/>
      <c r="AY92" s="2324"/>
      <c r="AZ92" s="2324"/>
      <c r="BA92" s="2324"/>
      <c r="BB92" s="2325"/>
      <c r="BC92" s="1207"/>
      <c r="BD92" s="1207"/>
      <c r="BE92" s="1213"/>
    </row>
    <row r="93" spans="1:57" ht="15.75" customHeight="1" thickBot="1">
      <c r="A93" s="1207"/>
      <c r="B93" s="2264" t="s">
        <v>1898</v>
      </c>
      <c r="C93" s="2265"/>
      <c r="D93" s="2265"/>
      <c r="E93" s="2265"/>
      <c r="F93" s="2265"/>
      <c r="G93" s="2265"/>
      <c r="H93" s="2265"/>
      <c r="I93" s="2329">
        <v>0</v>
      </c>
      <c r="J93" s="2329"/>
      <c r="K93" s="2329"/>
      <c r="L93" s="2329"/>
      <c r="M93" s="2329"/>
      <c r="N93" s="2329"/>
      <c r="O93" s="2329">
        <v>0</v>
      </c>
      <c r="P93" s="2329"/>
      <c r="Q93" s="2329"/>
      <c r="R93" s="2329"/>
      <c r="S93" s="2329"/>
      <c r="T93" s="2329"/>
      <c r="U93" s="2329"/>
      <c r="V93" s="2329">
        <v>0</v>
      </c>
      <c r="W93" s="2329"/>
      <c r="X93" s="2329"/>
      <c r="Y93" s="2329"/>
      <c r="Z93" s="2329"/>
      <c r="AA93" s="2329"/>
      <c r="AB93" s="2329">
        <v>0</v>
      </c>
      <c r="AC93" s="2329"/>
      <c r="AD93" s="2329"/>
      <c r="AE93" s="2329"/>
      <c r="AF93" s="2329"/>
      <c r="AG93" s="2329"/>
      <c r="AH93" s="2330"/>
      <c r="AI93" s="1207"/>
      <c r="AJ93" s="2326"/>
      <c r="AK93" s="2327"/>
      <c r="AL93" s="2327"/>
      <c r="AM93" s="2327"/>
      <c r="AN93" s="2327"/>
      <c r="AO93" s="2327"/>
      <c r="AP93" s="2327"/>
      <c r="AQ93" s="2327"/>
      <c r="AR93" s="2327"/>
      <c r="AS93" s="2327"/>
      <c r="AT93" s="2327"/>
      <c r="AU93" s="2327"/>
      <c r="AV93" s="2327"/>
      <c r="AW93" s="2327"/>
      <c r="AX93" s="2327"/>
      <c r="AY93" s="2327"/>
      <c r="AZ93" s="2327"/>
      <c r="BA93" s="2327"/>
      <c r="BB93" s="2328"/>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1901</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3" t="s">
        <v>2246</v>
      </c>
      <c r="Y96" s="2314"/>
      <c r="Z96" s="2314"/>
      <c r="AA96" s="2314"/>
      <c r="AB96" s="2314"/>
      <c r="AC96" s="2314"/>
      <c r="AD96" s="2314"/>
      <c r="AE96" s="2314"/>
      <c r="AF96" s="2314"/>
      <c r="AG96" s="2314"/>
      <c r="AH96" s="2314"/>
      <c r="AI96" s="2314"/>
      <c r="AJ96" s="2314"/>
      <c r="AK96" s="2314"/>
      <c r="AL96" s="2314"/>
      <c r="AM96" s="2314"/>
      <c r="AN96" s="2314"/>
      <c r="AO96" s="2314"/>
      <c r="AP96" s="2314"/>
      <c r="AQ96" s="2314"/>
      <c r="AR96" s="2314"/>
      <c r="AS96" s="2314"/>
      <c r="AT96" s="2314"/>
      <c r="AU96" s="2314"/>
      <c r="AV96" s="2314"/>
      <c r="AW96" s="2314"/>
      <c r="AX96" s="2314"/>
      <c r="AY96" s="2314"/>
      <c r="AZ96" s="2314"/>
      <c r="BA96" s="2314"/>
      <c r="BB96" s="2314"/>
      <c r="BC96" s="2314"/>
      <c r="BD96" s="2339"/>
      <c r="BE96" s="1213"/>
    </row>
    <row r="97" spans="1:57" ht="15.75" customHeight="1">
      <c r="A97" s="1207"/>
      <c r="B97" s="2341" t="s">
        <v>1752</v>
      </c>
      <c r="C97" s="2342"/>
      <c r="D97" s="2342"/>
      <c r="E97" s="2342"/>
      <c r="F97" s="2342"/>
      <c r="G97" s="2342"/>
      <c r="H97" s="2342"/>
      <c r="I97" s="2342"/>
      <c r="J97" s="2342"/>
      <c r="K97" s="2342"/>
      <c r="L97" s="2342"/>
      <c r="M97" s="2342"/>
      <c r="N97" s="2342"/>
      <c r="O97" s="2342"/>
      <c r="P97" s="2342"/>
      <c r="Q97" s="2342"/>
      <c r="R97" s="2342"/>
      <c r="S97" s="2342"/>
      <c r="T97" s="2342"/>
      <c r="U97" s="2343"/>
      <c r="V97" s="1207"/>
      <c r="W97" s="1207"/>
      <c r="X97" s="2315"/>
      <c r="Y97" s="2316"/>
      <c r="Z97" s="2316"/>
      <c r="AA97" s="2316"/>
      <c r="AB97" s="2316"/>
      <c r="AC97" s="2316"/>
      <c r="AD97" s="2316"/>
      <c r="AE97" s="2316"/>
      <c r="AF97" s="2316"/>
      <c r="AG97" s="2316"/>
      <c r="AH97" s="2316"/>
      <c r="AI97" s="2316"/>
      <c r="AJ97" s="2316"/>
      <c r="AK97" s="2316"/>
      <c r="AL97" s="2316"/>
      <c r="AM97" s="2316"/>
      <c r="AN97" s="2316"/>
      <c r="AO97" s="2316"/>
      <c r="AP97" s="2316"/>
      <c r="AQ97" s="2316"/>
      <c r="AR97" s="2316"/>
      <c r="AS97" s="2316"/>
      <c r="AT97" s="2316"/>
      <c r="AU97" s="2316"/>
      <c r="AV97" s="2316"/>
      <c r="AW97" s="2316"/>
      <c r="AX97" s="2316"/>
      <c r="AY97" s="2316"/>
      <c r="AZ97" s="2316"/>
      <c r="BA97" s="2316"/>
      <c r="BB97" s="2316"/>
      <c r="BC97" s="2316"/>
      <c r="BD97" s="2340"/>
      <c r="BE97" s="1213"/>
    </row>
    <row r="98" spans="1:57" ht="15.75" customHeight="1">
      <c r="A98" s="1207"/>
      <c r="B98" s="2335"/>
      <c r="C98" s="2336"/>
      <c r="D98" s="2336"/>
      <c r="E98" s="2336"/>
      <c r="F98" s="2336"/>
      <c r="G98" s="2336"/>
      <c r="H98" s="2336"/>
      <c r="I98" s="2247" t="s">
        <v>2247</v>
      </c>
      <c r="J98" s="2247"/>
      <c r="K98" s="2247"/>
      <c r="L98" s="2247"/>
      <c r="M98" s="2247"/>
      <c r="N98" s="2247"/>
      <c r="O98" s="2344" t="s">
        <v>2248</v>
      </c>
      <c r="P98" s="2344"/>
      <c r="Q98" s="2344"/>
      <c r="R98" s="2344"/>
      <c r="S98" s="2344"/>
      <c r="T98" s="2344"/>
      <c r="U98" s="2345"/>
      <c r="V98" s="1207"/>
      <c r="W98" s="1207"/>
      <c r="X98" s="2299" t="s">
        <v>2260</v>
      </c>
      <c r="Y98" s="2300"/>
      <c r="Z98" s="2300"/>
      <c r="AA98" s="2300"/>
      <c r="AB98" s="2300"/>
      <c r="AC98" s="2300"/>
      <c r="AD98" s="2300"/>
      <c r="AE98" s="2300"/>
      <c r="AF98" s="2300"/>
      <c r="AG98" s="2300"/>
      <c r="AH98" s="2300"/>
      <c r="AI98" s="2300"/>
      <c r="AJ98" s="2300"/>
      <c r="AK98" s="2300"/>
      <c r="AL98" s="2300"/>
      <c r="AM98" s="2300"/>
      <c r="AN98" s="2300"/>
      <c r="AO98" s="2300"/>
      <c r="AP98" s="2300"/>
      <c r="AQ98" s="2300"/>
      <c r="AR98" s="2300"/>
      <c r="AS98" s="2300"/>
      <c r="AT98" s="2300"/>
      <c r="AU98" s="2300"/>
      <c r="AV98" s="2300"/>
      <c r="AW98" s="2300"/>
      <c r="AX98" s="2300"/>
      <c r="AY98" s="2300"/>
      <c r="AZ98" s="2300"/>
      <c r="BA98" s="2300"/>
      <c r="BB98" s="2300"/>
      <c r="BC98" s="2300"/>
      <c r="BD98" s="2301"/>
      <c r="BE98" s="1213"/>
    </row>
    <row r="99" spans="1:57" ht="15.75" customHeight="1">
      <c r="A99" s="1207"/>
      <c r="B99" s="2346" t="s">
        <v>2249</v>
      </c>
      <c r="C99" s="2347"/>
      <c r="D99" s="2347"/>
      <c r="E99" s="2347"/>
      <c r="F99" s="2347"/>
      <c r="G99" s="2347"/>
      <c r="H99" s="2347"/>
      <c r="I99" s="2322">
        <v>0</v>
      </c>
      <c r="J99" s="2322"/>
      <c r="K99" s="2322"/>
      <c r="L99" s="2322"/>
      <c r="M99" s="2322"/>
      <c r="N99" s="2322"/>
      <c r="O99" s="2322">
        <v>0</v>
      </c>
      <c r="P99" s="2322"/>
      <c r="Q99" s="2322"/>
      <c r="R99" s="2322"/>
      <c r="S99" s="2322"/>
      <c r="T99" s="2322"/>
      <c r="U99" s="2331"/>
      <c r="V99" s="1207"/>
      <c r="W99" s="1207"/>
      <c r="X99" s="2299"/>
      <c r="Y99" s="2300"/>
      <c r="Z99" s="2300"/>
      <c r="AA99" s="2300"/>
      <c r="AB99" s="2300"/>
      <c r="AC99" s="2300"/>
      <c r="AD99" s="2300"/>
      <c r="AE99" s="2300"/>
      <c r="AF99" s="2300"/>
      <c r="AG99" s="2300"/>
      <c r="AH99" s="2300"/>
      <c r="AI99" s="2300"/>
      <c r="AJ99" s="2300"/>
      <c r="AK99" s="2300"/>
      <c r="AL99" s="2300"/>
      <c r="AM99" s="2300"/>
      <c r="AN99" s="2300"/>
      <c r="AO99" s="2300"/>
      <c r="AP99" s="2300"/>
      <c r="AQ99" s="2300"/>
      <c r="AR99" s="2300"/>
      <c r="AS99" s="2300"/>
      <c r="AT99" s="2300"/>
      <c r="AU99" s="2300"/>
      <c r="AV99" s="2300"/>
      <c r="AW99" s="2300"/>
      <c r="AX99" s="2300"/>
      <c r="AY99" s="2300"/>
      <c r="AZ99" s="2300"/>
      <c r="BA99" s="2300"/>
      <c r="BB99" s="2300"/>
      <c r="BC99" s="2300"/>
      <c r="BD99" s="2301"/>
      <c r="BE99" s="1213"/>
    </row>
    <row r="100" spans="1:57" ht="15.75" customHeight="1" thickBot="1">
      <c r="A100" s="1207"/>
      <c r="B100" s="2348" t="s">
        <v>2250</v>
      </c>
      <c r="C100" s="2349"/>
      <c r="D100" s="2349"/>
      <c r="E100" s="2349"/>
      <c r="F100" s="2349"/>
      <c r="G100" s="2349"/>
      <c r="H100" s="2349"/>
      <c r="I100" s="2329">
        <v>0</v>
      </c>
      <c r="J100" s="2329"/>
      <c r="K100" s="2329"/>
      <c r="L100" s="2329"/>
      <c r="M100" s="2329"/>
      <c r="N100" s="2329"/>
      <c r="O100" s="2333"/>
      <c r="P100" s="2333"/>
      <c r="Q100" s="2333"/>
      <c r="R100" s="2333"/>
      <c r="S100" s="2333"/>
      <c r="T100" s="2333"/>
      <c r="U100" s="2334"/>
      <c r="V100" s="1207"/>
      <c r="W100" s="1207"/>
      <c r="X100" s="2299"/>
      <c r="Y100" s="2300"/>
      <c r="Z100" s="2300"/>
      <c r="AA100" s="2300"/>
      <c r="AB100" s="2300"/>
      <c r="AC100" s="2300"/>
      <c r="AD100" s="2300"/>
      <c r="AE100" s="2300"/>
      <c r="AF100" s="2300"/>
      <c r="AG100" s="2300"/>
      <c r="AH100" s="2300"/>
      <c r="AI100" s="2300"/>
      <c r="AJ100" s="2300"/>
      <c r="AK100" s="2300"/>
      <c r="AL100" s="2300"/>
      <c r="AM100" s="2300"/>
      <c r="AN100" s="2300"/>
      <c r="AO100" s="2300"/>
      <c r="AP100" s="2300"/>
      <c r="AQ100" s="2300"/>
      <c r="AR100" s="2300"/>
      <c r="AS100" s="2300"/>
      <c r="AT100" s="2300"/>
      <c r="AU100" s="2300"/>
      <c r="AV100" s="2300"/>
      <c r="AW100" s="2300"/>
      <c r="AX100" s="2300"/>
      <c r="AY100" s="2300"/>
      <c r="AZ100" s="2300"/>
      <c r="BA100" s="2300"/>
      <c r="BB100" s="2300"/>
      <c r="BC100" s="2300"/>
      <c r="BD100" s="2301"/>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99"/>
      <c r="Y101" s="2300"/>
      <c r="Z101" s="2300"/>
      <c r="AA101" s="2300"/>
      <c r="AB101" s="2300"/>
      <c r="AC101" s="2300"/>
      <c r="AD101" s="2300"/>
      <c r="AE101" s="2300"/>
      <c r="AF101" s="2300"/>
      <c r="AG101" s="2300"/>
      <c r="AH101" s="2300"/>
      <c r="AI101" s="2300"/>
      <c r="AJ101" s="2300"/>
      <c r="AK101" s="2300"/>
      <c r="AL101" s="2300"/>
      <c r="AM101" s="2300"/>
      <c r="AN101" s="2300"/>
      <c r="AO101" s="2300"/>
      <c r="AP101" s="2300"/>
      <c r="AQ101" s="2300"/>
      <c r="AR101" s="2300"/>
      <c r="AS101" s="2300"/>
      <c r="AT101" s="2300"/>
      <c r="AU101" s="2300"/>
      <c r="AV101" s="2300"/>
      <c r="AW101" s="2300"/>
      <c r="AX101" s="2300"/>
      <c r="AY101" s="2300"/>
      <c r="AZ101" s="2300"/>
      <c r="BA101" s="2300"/>
      <c r="BB101" s="2300"/>
      <c r="BC101" s="2300"/>
      <c r="BD101" s="2301"/>
      <c r="BE101" s="1213"/>
    </row>
    <row r="102" spans="1:57" ht="15.75" customHeight="1">
      <c r="A102" s="1207"/>
      <c r="B102" s="1221" t="s">
        <v>1902</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99"/>
      <c r="Y102" s="2300"/>
      <c r="Z102" s="2300"/>
      <c r="AA102" s="2300"/>
      <c r="AB102" s="2300"/>
      <c r="AC102" s="2300"/>
      <c r="AD102" s="2300"/>
      <c r="AE102" s="2300"/>
      <c r="AF102" s="2300"/>
      <c r="AG102" s="2300"/>
      <c r="AH102" s="2300"/>
      <c r="AI102" s="2300"/>
      <c r="AJ102" s="2300"/>
      <c r="AK102" s="2300"/>
      <c r="AL102" s="2300"/>
      <c r="AM102" s="2300"/>
      <c r="AN102" s="2300"/>
      <c r="AO102" s="2300"/>
      <c r="AP102" s="2300"/>
      <c r="AQ102" s="2300"/>
      <c r="AR102" s="2300"/>
      <c r="AS102" s="2300"/>
      <c r="AT102" s="2300"/>
      <c r="AU102" s="2300"/>
      <c r="AV102" s="2300"/>
      <c r="AW102" s="2300"/>
      <c r="AX102" s="2300"/>
      <c r="AY102" s="2300"/>
      <c r="AZ102" s="2300"/>
      <c r="BA102" s="2300"/>
      <c r="BB102" s="2300"/>
      <c r="BC102" s="2300"/>
      <c r="BD102" s="2301"/>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99"/>
      <c r="Y103" s="2300"/>
      <c r="Z103" s="2300"/>
      <c r="AA103" s="2300"/>
      <c r="AB103" s="2300"/>
      <c r="AC103" s="2300"/>
      <c r="AD103" s="2300"/>
      <c r="AE103" s="2300"/>
      <c r="AF103" s="2300"/>
      <c r="AG103" s="2300"/>
      <c r="AH103" s="2300"/>
      <c r="AI103" s="2300"/>
      <c r="AJ103" s="2300"/>
      <c r="AK103" s="2300"/>
      <c r="AL103" s="2300"/>
      <c r="AM103" s="2300"/>
      <c r="AN103" s="2300"/>
      <c r="AO103" s="2300"/>
      <c r="AP103" s="2300"/>
      <c r="AQ103" s="2300"/>
      <c r="AR103" s="2300"/>
      <c r="AS103" s="2300"/>
      <c r="AT103" s="2300"/>
      <c r="AU103" s="2300"/>
      <c r="AV103" s="2300"/>
      <c r="AW103" s="2300"/>
      <c r="AX103" s="2300"/>
      <c r="AY103" s="2300"/>
      <c r="AZ103" s="2300"/>
      <c r="BA103" s="2300"/>
      <c r="BB103" s="2300"/>
      <c r="BC103" s="2300"/>
      <c r="BD103" s="2301"/>
      <c r="BE103" s="1213"/>
    </row>
    <row r="104" spans="1:57" ht="15.75" customHeight="1">
      <c r="A104" s="1207"/>
      <c r="B104" s="2180" t="s">
        <v>1903</v>
      </c>
      <c r="C104" s="2181"/>
      <c r="D104" s="2181"/>
      <c r="E104" s="2181"/>
      <c r="F104" s="2181"/>
      <c r="G104" s="2181"/>
      <c r="H104" s="2181"/>
      <c r="I104" s="2181"/>
      <c r="J104" s="2181"/>
      <c r="K104" s="2181"/>
      <c r="L104" s="2181"/>
      <c r="M104" s="2181"/>
      <c r="N104" s="2181"/>
      <c r="O104" s="2181"/>
      <c r="P104" s="2181"/>
      <c r="Q104" s="2181"/>
      <c r="R104" s="2181"/>
      <c r="S104" s="2181"/>
      <c r="T104" s="2181"/>
      <c r="U104" s="2182"/>
      <c r="V104" s="1207"/>
      <c r="W104" s="1207"/>
      <c r="X104" s="2299"/>
      <c r="Y104" s="2300"/>
      <c r="Z104" s="2300"/>
      <c r="AA104" s="2300"/>
      <c r="AB104" s="2300"/>
      <c r="AC104" s="2300"/>
      <c r="AD104" s="2300"/>
      <c r="AE104" s="2300"/>
      <c r="AF104" s="2300"/>
      <c r="AG104" s="2300"/>
      <c r="AH104" s="2300"/>
      <c r="AI104" s="2300"/>
      <c r="AJ104" s="2300"/>
      <c r="AK104" s="2300"/>
      <c r="AL104" s="2300"/>
      <c r="AM104" s="2300"/>
      <c r="AN104" s="2300"/>
      <c r="AO104" s="2300"/>
      <c r="AP104" s="2300"/>
      <c r="AQ104" s="2300"/>
      <c r="AR104" s="2300"/>
      <c r="AS104" s="2300"/>
      <c r="AT104" s="2300"/>
      <c r="AU104" s="2300"/>
      <c r="AV104" s="2300"/>
      <c r="AW104" s="2300"/>
      <c r="AX104" s="2300"/>
      <c r="AY104" s="2300"/>
      <c r="AZ104" s="2300"/>
      <c r="BA104" s="2300"/>
      <c r="BB104" s="2300"/>
      <c r="BC104" s="2300"/>
      <c r="BD104" s="2301"/>
      <c r="BE104" s="1213"/>
    </row>
    <row r="105" spans="1:57" ht="15.75" customHeight="1">
      <c r="A105" s="1207"/>
      <c r="B105" s="2335"/>
      <c r="C105" s="2336"/>
      <c r="D105" s="2336"/>
      <c r="E105" s="2336"/>
      <c r="F105" s="2336"/>
      <c r="G105" s="2336"/>
      <c r="H105" s="2336"/>
      <c r="I105" s="2337" t="s">
        <v>1896</v>
      </c>
      <c r="J105" s="2337"/>
      <c r="K105" s="2337"/>
      <c r="L105" s="2337"/>
      <c r="M105" s="2337"/>
      <c r="N105" s="2337"/>
      <c r="O105" s="2337"/>
      <c r="P105" s="2337" t="s">
        <v>2261</v>
      </c>
      <c r="Q105" s="2337"/>
      <c r="R105" s="2337"/>
      <c r="S105" s="2337"/>
      <c r="T105" s="2337"/>
      <c r="U105" s="2338"/>
      <c r="V105" s="1207"/>
      <c r="W105" s="1207"/>
      <c r="X105" s="2299"/>
      <c r="Y105" s="2300"/>
      <c r="Z105" s="2300"/>
      <c r="AA105" s="2300"/>
      <c r="AB105" s="2300"/>
      <c r="AC105" s="2300"/>
      <c r="AD105" s="2300"/>
      <c r="AE105" s="2300"/>
      <c r="AF105" s="2300"/>
      <c r="AG105" s="2300"/>
      <c r="AH105" s="2300"/>
      <c r="AI105" s="2300"/>
      <c r="AJ105" s="2300"/>
      <c r="AK105" s="2300"/>
      <c r="AL105" s="2300"/>
      <c r="AM105" s="2300"/>
      <c r="AN105" s="2300"/>
      <c r="AO105" s="2300"/>
      <c r="AP105" s="2300"/>
      <c r="AQ105" s="2300"/>
      <c r="AR105" s="2300"/>
      <c r="AS105" s="2300"/>
      <c r="AT105" s="2300"/>
      <c r="AU105" s="2300"/>
      <c r="AV105" s="2300"/>
      <c r="AW105" s="2300"/>
      <c r="AX105" s="2300"/>
      <c r="AY105" s="2300"/>
      <c r="AZ105" s="2300"/>
      <c r="BA105" s="2300"/>
      <c r="BB105" s="2300"/>
      <c r="BC105" s="2300"/>
      <c r="BD105" s="2301"/>
      <c r="BE105" s="1213"/>
    </row>
    <row r="106" spans="1:57" ht="15.75" customHeight="1">
      <c r="A106" s="1207"/>
      <c r="B106" s="2335"/>
      <c r="C106" s="2336"/>
      <c r="D106" s="2336"/>
      <c r="E106" s="2336"/>
      <c r="F106" s="2336"/>
      <c r="G106" s="2336"/>
      <c r="H106" s="2336"/>
      <c r="I106" s="2337"/>
      <c r="J106" s="2337"/>
      <c r="K106" s="2337"/>
      <c r="L106" s="2337"/>
      <c r="M106" s="2337"/>
      <c r="N106" s="2337"/>
      <c r="O106" s="2337"/>
      <c r="P106" s="2337"/>
      <c r="Q106" s="2337"/>
      <c r="R106" s="2337"/>
      <c r="S106" s="2337"/>
      <c r="T106" s="2337"/>
      <c r="U106" s="2338"/>
      <c r="V106" s="1207"/>
      <c r="W106" s="1207"/>
      <c r="X106" s="2299"/>
      <c r="Y106" s="2300"/>
      <c r="Z106" s="2300"/>
      <c r="AA106" s="2300"/>
      <c r="AB106" s="2300"/>
      <c r="AC106" s="2300"/>
      <c r="AD106" s="2300"/>
      <c r="AE106" s="2300"/>
      <c r="AF106" s="2300"/>
      <c r="AG106" s="2300"/>
      <c r="AH106" s="2300"/>
      <c r="AI106" s="2300"/>
      <c r="AJ106" s="2300"/>
      <c r="AK106" s="2300"/>
      <c r="AL106" s="2300"/>
      <c r="AM106" s="2300"/>
      <c r="AN106" s="2300"/>
      <c r="AO106" s="2300"/>
      <c r="AP106" s="2300"/>
      <c r="AQ106" s="2300"/>
      <c r="AR106" s="2300"/>
      <c r="AS106" s="2300"/>
      <c r="AT106" s="2300"/>
      <c r="AU106" s="2300"/>
      <c r="AV106" s="2300"/>
      <c r="AW106" s="2300"/>
      <c r="AX106" s="2300"/>
      <c r="AY106" s="2300"/>
      <c r="AZ106" s="2300"/>
      <c r="BA106" s="2300"/>
      <c r="BB106" s="2300"/>
      <c r="BC106" s="2300"/>
      <c r="BD106" s="2301"/>
      <c r="BE106" s="1213"/>
    </row>
    <row r="107" spans="1:57" ht="15.75" customHeight="1">
      <c r="A107" s="1207"/>
      <c r="B107" s="2346" t="s">
        <v>2249</v>
      </c>
      <c r="C107" s="2347"/>
      <c r="D107" s="2347"/>
      <c r="E107" s="2347"/>
      <c r="F107" s="2347"/>
      <c r="G107" s="2347"/>
      <c r="H107" s="2347"/>
      <c r="I107" s="2322">
        <v>0</v>
      </c>
      <c r="J107" s="2322"/>
      <c r="K107" s="2322"/>
      <c r="L107" s="2322"/>
      <c r="M107" s="2322"/>
      <c r="N107" s="2322"/>
      <c r="O107" s="2322"/>
      <c r="P107" s="2322">
        <v>0</v>
      </c>
      <c r="Q107" s="2322"/>
      <c r="R107" s="2322"/>
      <c r="S107" s="2322"/>
      <c r="T107" s="2322"/>
      <c r="U107" s="2331"/>
      <c r="V107" s="1207"/>
      <c r="W107" s="1207"/>
      <c r="X107" s="2299"/>
      <c r="Y107" s="2300"/>
      <c r="Z107" s="2300"/>
      <c r="AA107" s="2300"/>
      <c r="AB107" s="2300"/>
      <c r="AC107" s="2300"/>
      <c r="AD107" s="2300"/>
      <c r="AE107" s="2300"/>
      <c r="AF107" s="2300"/>
      <c r="AG107" s="2300"/>
      <c r="AH107" s="2300"/>
      <c r="AI107" s="2300"/>
      <c r="AJ107" s="2300"/>
      <c r="AK107" s="2300"/>
      <c r="AL107" s="2300"/>
      <c r="AM107" s="2300"/>
      <c r="AN107" s="2300"/>
      <c r="AO107" s="2300"/>
      <c r="AP107" s="2300"/>
      <c r="AQ107" s="2300"/>
      <c r="AR107" s="2300"/>
      <c r="AS107" s="2300"/>
      <c r="AT107" s="2300"/>
      <c r="AU107" s="2300"/>
      <c r="AV107" s="2300"/>
      <c r="AW107" s="2300"/>
      <c r="AX107" s="2300"/>
      <c r="AY107" s="2300"/>
      <c r="AZ107" s="2300"/>
      <c r="BA107" s="2300"/>
      <c r="BB107" s="2300"/>
      <c r="BC107" s="2300"/>
      <c r="BD107" s="2301"/>
      <c r="BE107" s="1213"/>
    </row>
    <row r="108" spans="1:57" ht="15.75" customHeight="1" thickBot="1">
      <c r="A108" s="1207"/>
      <c r="B108" s="2348" t="s">
        <v>2250</v>
      </c>
      <c r="C108" s="2349"/>
      <c r="D108" s="2349"/>
      <c r="E108" s="2349"/>
      <c r="F108" s="2349"/>
      <c r="G108" s="2349"/>
      <c r="H108" s="2349"/>
      <c r="I108" s="2329">
        <v>0</v>
      </c>
      <c r="J108" s="2329"/>
      <c r="K108" s="2329"/>
      <c r="L108" s="2329"/>
      <c r="M108" s="2329"/>
      <c r="N108" s="2329"/>
      <c r="O108" s="2329"/>
      <c r="P108" s="2329">
        <v>0</v>
      </c>
      <c r="Q108" s="2329"/>
      <c r="R108" s="2329"/>
      <c r="S108" s="2329"/>
      <c r="T108" s="2329"/>
      <c r="U108" s="2330"/>
      <c r="V108" s="1207"/>
      <c r="W108" s="1207"/>
      <c r="X108" s="2302"/>
      <c r="Y108" s="2303"/>
      <c r="Z108" s="2303"/>
      <c r="AA108" s="2303"/>
      <c r="AB108" s="2303"/>
      <c r="AC108" s="2303"/>
      <c r="AD108" s="2303"/>
      <c r="AE108" s="2303"/>
      <c r="AF108" s="2303"/>
      <c r="AG108" s="2303"/>
      <c r="AH108" s="2303"/>
      <c r="AI108" s="2303"/>
      <c r="AJ108" s="2303"/>
      <c r="AK108" s="2303"/>
      <c r="AL108" s="2303"/>
      <c r="AM108" s="2303"/>
      <c r="AN108" s="2303"/>
      <c r="AO108" s="2303"/>
      <c r="AP108" s="2303"/>
      <c r="AQ108" s="2303"/>
      <c r="AR108" s="2303"/>
      <c r="AS108" s="2303"/>
      <c r="AT108" s="2303"/>
      <c r="AU108" s="2303"/>
      <c r="AV108" s="2303"/>
      <c r="AW108" s="2303"/>
      <c r="AX108" s="2303"/>
      <c r="AY108" s="2303"/>
      <c r="AZ108" s="2303"/>
      <c r="BA108" s="2303"/>
      <c r="BB108" s="2303"/>
      <c r="BC108" s="2303"/>
      <c r="BD108" s="2304"/>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50" t="s">
        <v>1904</v>
      </c>
      <c r="C110" s="2351"/>
      <c r="D110" s="2351"/>
      <c r="E110" s="2351"/>
      <c r="F110" s="2351"/>
      <c r="G110" s="2351"/>
      <c r="H110" s="2351"/>
      <c r="I110" s="2351"/>
      <c r="J110" s="2351"/>
      <c r="K110" s="2351"/>
      <c r="L110" s="2351"/>
      <c r="M110" s="2351"/>
      <c r="N110" s="2351"/>
      <c r="O110" s="2351"/>
      <c r="P110" s="2351"/>
      <c r="Q110" s="2351"/>
      <c r="R110" s="2351"/>
      <c r="S110" s="2351"/>
      <c r="T110" s="2351"/>
      <c r="U110" s="2351"/>
      <c r="V110" s="2351"/>
      <c r="W110" s="2351"/>
      <c r="X110" s="2351"/>
      <c r="Y110" s="2351"/>
      <c r="Z110" s="2351"/>
      <c r="AA110" s="2351"/>
      <c r="AB110" s="2351"/>
      <c r="AC110" s="2351"/>
      <c r="AD110" s="2351"/>
      <c r="AE110" s="2351"/>
      <c r="AF110" s="2351"/>
      <c r="AG110" s="2351"/>
      <c r="AH110" s="2271" t="s">
        <v>555</v>
      </c>
      <c r="AI110" s="2271"/>
      <c r="AJ110" s="2271"/>
      <c r="AK110" s="2271"/>
      <c r="AL110" s="2271"/>
      <c r="AM110" s="2271"/>
      <c r="AN110" s="2271"/>
      <c r="AO110" s="2271"/>
      <c r="AP110" s="2271"/>
      <c r="AQ110" s="2271"/>
      <c r="AR110" s="2271"/>
      <c r="AS110" s="2271"/>
      <c r="AT110" s="2271"/>
      <c r="AU110" s="2271"/>
      <c r="AV110" s="2271"/>
      <c r="AW110" s="2271"/>
      <c r="AX110" s="2272"/>
      <c r="AY110" s="1207"/>
      <c r="AZ110" s="1207"/>
      <c r="BA110" s="1207"/>
      <c r="BB110" s="1207"/>
      <c r="BC110" s="1207"/>
      <c r="BD110" s="1207"/>
      <c r="BE110" s="1213"/>
    </row>
    <row r="111" spans="1:57" ht="15.75" customHeight="1">
      <c r="A111" s="1207"/>
      <c r="B111" s="2352" t="s">
        <v>1905</v>
      </c>
      <c r="C111" s="2353"/>
      <c r="D111" s="2353"/>
      <c r="E111" s="2353"/>
      <c r="F111" s="2353"/>
      <c r="G111" s="2353"/>
      <c r="H111" s="2353"/>
      <c r="I111" s="2353"/>
      <c r="J111" s="2353"/>
      <c r="K111" s="2353"/>
      <c r="L111" s="2353"/>
      <c r="M111" s="2353"/>
      <c r="N111" s="2353"/>
      <c r="O111" s="2353"/>
      <c r="P111" s="2353"/>
      <c r="Q111" s="2353"/>
      <c r="R111" s="2354" t="s">
        <v>2263</v>
      </c>
      <c r="S111" s="2354"/>
      <c r="T111" s="2354"/>
      <c r="U111" s="2354"/>
      <c r="V111" s="2354"/>
      <c r="W111" s="2354"/>
      <c r="X111" s="2354"/>
      <c r="Y111" s="2354"/>
      <c r="Z111" s="2354"/>
      <c r="AA111" s="2354"/>
      <c r="AB111" s="2354"/>
      <c r="AC111" s="2354"/>
      <c r="AD111" s="2354"/>
      <c r="AE111" s="2354"/>
      <c r="AF111" s="2354"/>
      <c r="AG111" s="2354"/>
      <c r="AH111" s="2354"/>
      <c r="AI111" s="2354"/>
      <c r="AJ111" s="2354"/>
      <c r="AK111" s="2354"/>
      <c r="AL111" s="2354"/>
      <c r="AM111" s="2354"/>
      <c r="AN111" s="2354"/>
      <c r="AO111" s="2354"/>
      <c r="AP111" s="2354"/>
      <c r="AQ111" s="2354"/>
      <c r="AR111" s="2354"/>
      <c r="AS111" s="2354"/>
      <c r="AT111" s="2354"/>
      <c r="AU111" s="2354"/>
      <c r="AV111" s="2354"/>
      <c r="AW111" s="2354"/>
      <c r="AX111" s="2355"/>
      <c r="AY111" s="1207"/>
      <c r="AZ111" s="1207"/>
      <c r="BA111" s="1207"/>
      <c r="BB111" s="1207"/>
      <c r="BC111" s="1207" t="s">
        <v>252</v>
      </c>
      <c r="BD111" s="1207"/>
      <c r="BE111" s="1213"/>
    </row>
    <row r="112" spans="1:57" ht="15.75" customHeight="1">
      <c r="A112" s="1207"/>
      <c r="B112" s="2356" t="s">
        <v>2264</v>
      </c>
      <c r="C112" s="2357"/>
      <c r="D112" s="2357"/>
      <c r="E112" s="2357"/>
      <c r="F112" s="2357"/>
      <c r="G112" s="2357"/>
      <c r="H112" s="2357"/>
      <c r="I112" s="2357"/>
      <c r="J112" s="2357"/>
      <c r="K112" s="2357"/>
      <c r="L112" s="2357"/>
      <c r="M112" s="2357"/>
      <c r="N112" s="2357"/>
      <c r="O112" s="2357"/>
      <c r="P112" s="2357"/>
      <c r="Q112" s="2357"/>
      <c r="R112" s="2357"/>
      <c r="S112" s="2357"/>
      <c r="T112" s="2357"/>
      <c r="U112" s="2357"/>
      <c r="V112" s="2357"/>
      <c r="W112" s="2357"/>
      <c r="X112" s="2357"/>
      <c r="Y112" s="2357"/>
      <c r="Z112" s="2357"/>
      <c r="AA112" s="2357"/>
      <c r="AB112" s="2357"/>
      <c r="AC112" s="2357"/>
      <c r="AD112" s="2357"/>
      <c r="AE112" s="2357"/>
      <c r="AF112" s="2357"/>
      <c r="AG112" s="2357"/>
      <c r="AH112" s="2357"/>
      <c r="AI112" s="2357"/>
      <c r="AJ112" s="2357"/>
      <c r="AK112" s="2357"/>
      <c r="AL112" s="2357"/>
      <c r="AM112" s="2357"/>
      <c r="AN112" s="2357"/>
      <c r="AO112" s="2357"/>
      <c r="AP112" s="2357"/>
      <c r="AQ112" s="2357"/>
      <c r="AR112" s="2357"/>
      <c r="AS112" s="2357"/>
      <c r="AT112" s="2357"/>
      <c r="AU112" s="2357"/>
      <c r="AV112" s="2357"/>
      <c r="AW112" s="2357"/>
      <c r="AX112" s="2358"/>
      <c r="AY112" s="1207"/>
      <c r="AZ112" s="1207"/>
      <c r="BA112" s="1207"/>
      <c r="BB112" s="1207"/>
      <c r="BC112" s="1207"/>
      <c r="BD112" s="1207"/>
      <c r="BE112" s="1213"/>
    </row>
    <row r="113" spans="1:57" ht="15.75" customHeight="1">
      <c r="A113" s="1207"/>
      <c r="B113" s="2356"/>
      <c r="C113" s="2357"/>
      <c r="D113" s="2357"/>
      <c r="E113" s="2357"/>
      <c r="F113" s="2357"/>
      <c r="G113" s="2357"/>
      <c r="H113" s="2357"/>
      <c r="I113" s="2357"/>
      <c r="J113" s="2357"/>
      <c r="K113" s="2357"/>
      <c r="L113" s="2357"/>
      <c r="M113" s="2357"/>
      <c r="N113" s="2357"/>
      <c r="O113" s="2357"/>
      <c r="P113" s="2357"/>
      <c r="Q113" s="2357"/>
      <c r="R113" s="2357"/>
      <c r="S113" s="2357"/>
      <c r="T113" s="2357"/>
      <c r="U113" s="2357"/>
      <c r="V113" s="2357"/>
      <c r="W113" s="2357"/>
      <c r="X113" s="2357"/>
      <c r="Y113" s="2357"/>
      <c r="Z113" s="2357"/>
      <c r="AA113" s="2357"/>
      <c r="AB113" s="2357"/>
      <c r="AC113" s="2357"/>
      <c r="AD113" s="2357"/>
      <c r="AE113" s="2357"/>
      <c r="AF113" s="2357"/>
      <c r="AG113" s="2357"/>
      <c r="AH113" s="2357"/>
      <c r="AI113" s="2357"/>
      <c r="AJ113" s="2357"/>
      <c r="AK113" s="2357"/>
      <c r="AL113" s="2357"/>
      <c r="AM113" s="2357"/>
      <c r="AN113" s="2357"/>
      <c r="AO113" s="2357"/>
      <c r="AP113" s="2357"/>
      <c r="AQ113" s="2357"/>
      <c r="AR113" s="2357"/>
      <c r="AS113" s="2357"/>
      <c r="AT113" s="2357"/>
      <c r="AU113" s="2357"/>
      <c r="AV113" s="2357"/>
      <c r="AW113" s="2357"/>
      <c r="AX113" s="2358"/>
      <c r="AY113" s="1207"/>
      <c r="AZ113" s="1207"/>
      <c r="BA113" s="1207"/>
      <c r="BB113" s="1207"/>
      <c r="BC113" s="1207"/>
      <c r="BD113" s="1207"/>
      <c r="BE113" s="1213"/>
    </row>
    <row r="114" spans="1:57" ht="15.75" customHeight="1">
      <c r="A114" s="1207"/>
      <c r="B114" s="2356"/>
      <c r="C114" s="2357"/>
      <c r="D114" s="2357"/>
      <c r="E114" s="2357"/>
      <c r="F114" s="2357"/>
      <c r="G114" s="2357"/>
      <c r="H114" s="2357"/>
      <c r="I114" s="2357"/>
      <c r="J114" s="2357"/>
      <c r="K114" s="2357"/>
      <c r="L114" s="2357"/>
      <c r="M114" s="2357"/>
      <c r="N114" s="2357"/>
      <c r="O114" s="2357"/>
      <c r="P114" s="2357"/>
      <c r="Q114" s="2357"/>
      <c r="R114" s="2357"/>
      <c r="S114" s="2357"/>
      <c r="T114" s="2357"/>
      <c r="U114" s="2357"/>
      <c r="V114" s="2357"/>
      <c r="W114" s="2357"/>
      <c r="X114" s="2357"/>
      <c r="Y114" s="2357"/>
      <c r="Z114" s="2357"/>
      <c r="AA114" s="2357"/>
      <c r="AB114" s="2357"/>
      <c r="AC114" s="2357"/>
      <c r="AD114" s="2357"/>
      <c r="AE114" s="2357"/>
      <c r="AF114" s="2357"/>
      <c r="AG114" s="2357"/>
      <c r="AH114" s="2357"/>
      <c r="AI114" s="2357"/>
      <c r="AJ114" s="2357"/>
      <c r="AK114" s="2357"/>
      <c r="AL114" s="2357"/>
      <c r="AM114" s="2357"/>
      <c r="AN114" s="2357"/>
      <c r="AO114" s="2357"/>
      <c r="AP114" s="2357"/>
      <c r="AQ114" s="2357"/>
      <c r="AR114" s="2357"/>
      <c r="AS114" s="2357"/>
      <c r="AT114" s="2357"/>
      <c r="AU114" s="2357"/>
      <c r="AV114" s="2357"/>
      <c r="AW114" s="2357"/>
      <c r="AX114" s="2358"/>
      <c r="AY114" s="1207"/>
      <c r="AZ114" s="1207"/>
      <c r="BA114" s="1207"/>
      <c r="BB114" s="1207"/>
      <c r="BC114" s="1207"/>
      <c r="BD114" s="1207"/>
      <c r="BE114" s="1213"/>
    </row>
    <row r="115" spans="1:57" ht="15.75" customHeight="1">
      <c r="A115" s="1207"/>
      <c r="B115" s="2356"/>
      <c r="C115" s="2357"/>
      <c r="D115" s="2357"/>
      <c r="E115" s="2357"/>
      <c r="F115" s="2357"/>
      <c r="G115" s="2357"/>
      <c r="H115" s="2357"/>
      <c r="I115" s="2357"/>
      <c r="J115" s="2357"/>
      <c r="K115" s="2357"/>
      <c r="L115" s="2357"/>
      <c r="M115" s="2357"/>
      <c r="N115" s="2357"/>
      <c r="O115" s="2357"/>
      <c r="P115" s="2357"/>
      <c r="Q115" s="2357"/>
      <c r="R115" s="2357"/>
      <c r="S115" s="2357"/>
      <c r="T115" s="2357"/>
      <c r="U115" s="2357"/>
      <c r="V115" s="2357"/>
      <c r="W115" s="2357"/>
      <c r="X115" s="2357"/>
      <c r="Y115" s="2357"/>
      <c r="Z115" s="2357"/>
      <c r="AA115" s="2357"/>
      <c r="AB115" s="2357"/>
      <c r="AC115" s="2357"/>
      <c r="AD115" s="2357"/>
      <c r="AE115" s="2357"/>
      <c r="AF115" s="2357"/>
      <c r="AG115" s="2357"/>
      <c r="AH115" s="2357"/>
      <c r="AI115" s="2357"/>
      <c r="AJ115" s="2357"/>
      <c r="AK115" s="2357"/>
      <c r="AL115" s="2357"/>
      <c r="AM115" s="2357"/>
      <c r="AN115" s="2357"/>
      <c r="AO115" s="2357"/>
      <c r="AP115" s="2357"/>
      <c r="AQ115" s="2357"/>
      <c r="AR115" s="2357"/>
      <c r="AS115" s="2357"/>
      <c r="AT115" s="2357"/>
      <c r="AU115" s="2357"/>
      <c r="AV115" s="2357"/>
      <c r="AW115" s="2357"/>
      <c r="AX115" s="2358"/>
      <c r="AY115" s="1207"/>
      <c r="AZ115" s="1207"/>
      <c r="BA115" s="1207"/>
      <c r="BB115" s="1207"/>
      <c r="BC115" s="1207"/>
      <c r="BD115" s="1207"/>
      <c r="BE115" s="1213"/>
    </row>
    <row r="116" spans="1:57" ht="15.75" customHeight="1">
      <c r="A116" s="1207"/>
      <c r="B116" s="2356"/>
      <c r="C116" s="2357"/>
      <c r="D116" s="2357"/>
      <c r="E116" s="2357"/>
      <c r="F116" s="2357"/>
      <c r="G116" s="2357"/>
      <c r="H116" s="2357"/>
      <c r="I116" s="2357"/>
      <c r="J116" s="2357"/>
      <c r="K116" s="2357"/>
      <c r="L116" s="2357"/>
      <c r="M116" s="2357"/>
      <c r="N116" s="2357"/>
      <c r="O116" s="2357"/>
      <c r="P116" s="2357"/>
      <c r="Q116" s="2357"/>
      <c r="R116" s="2357"/>
      <c r="S116" s="2357"/>
      <c r="T116" s="2357"/>
      <c r="U116" s="2357"/>
      <c r="V116" s="2357"/>
      <c r="W116" s="2357"/>
      <c r="X116" s="2357"/>
      <c r="Y116" s="2357"/>
      <c r="Z116" s="2357"/>
      <c r="AA116" s="2357"/>
      <c r="AB116" s="2357"/>
      <c r="AC116" s="2357"/>
      <c r="AD116" s="2357"/>
      <c r="AE116" s="2357"/>
      <c r="AF116" s="2357"/>
      <c r="AG116" s="2357"/>
      <c r="AH116" s="2357"/>
      <c r="AI116" s="2357"/>
      <c r="AJ116" s="2357"/>
      <c r="AK116" s="2357"/>
      <c r="AL116" s="2357"/>
      <c r="AM116" s="2357"/>
      <c r="AN116" s="2357"/>
      <c r="AO116" s="2357"/>
      <c r="AP116" s="2357"/>
      <c r="AQ116" s="2357"/>
      <c r="AR116" s="2357"/>
      <c r="AS116" s="2357"/>
      <c r="AT116" s="2357"/>
      <c r="AU116" s="2357"/>
      <c r="AV116" s="2357"/>
      <c r="AW116" s="2357"/>
      <c r="AX116" s="2358"/>
      <c r="AY116" s="1207"/>
      <c r="AZ116" s="1207"/>
      <c r="BA116" s="1207"/>
      <c r="BB116" s="1207"/>
      <c r="BC116" s="1207"/>
      <c r="BD116" s="1207"/>
      <c r="BE116" s="1213"/>
    </row>
    <row r="117" spans="1:57" ht="15.75" customHeight="1">
      <c r="A117" s="1207"/>
      <c r="B117" s="2356"/>
      <c r="C117" s="2357"/>
      <c r="D117" s="2357"/>
      <c r="E117" s="2357"/>
      <c r="F117" s="2357"/>
      <c r="G117" s="2357"/>
      <c r="H117" s="2357"/>
      <c r="I117" s="2357"/>
      <c r="J117" s="2357"/>
      <c r="K117" s="2357"/>
      <c r="L117" s="2357"/>
      <c r="M117" s="2357"/>
      <c r="N117" s="2357"/>
      <c r="O117" s="2357"/>
      <c r="P117" s="2357"/>
      <c r="Q117" s="2357"/>
      <c r="R117" s="2357"/>
      <c r="S117" s="2357"/>
      <c r="T117" s="2357"/>
      <c r="U117" s="2357"/>
      <c r="V117" s="2357"/>
      <c r="W117" s="2357"/>
      <c r="X117" s="2357"/>
      <c r="Y117" s="2357"/>
      <c r="Z117" s="2357"/>
      <c r="AA117" s="2357"/>
      <c r="AB117" s="2357"/>
      <c r="AC117" s="2357"/>
      <c r="AD117" s="2357"/>
      <c r="AE117" s="2357"/>
      <c r="AF117" s="2357"/>
      <c r="AG117" s="2357"/>
      <c r="AH117" s="2357"/>
      <c r="AI117" s="2357"/>
      <c r="AJ117" s="2357"/>
      <c r="AK117" s="2357"/>
      <c r="AL117" s="2357"/>
      <c r="AM117" s="2357"/>
      <c r="AN117" s="2357"/>
      <c r="AO117" s="2357"/>
      <c r="AP117" s="2357"/>
      <c r="AQ117" s="2357"/>
      <c r="AR117" s="2357"/>
      <c r="AS117" s="2357"/>
      <c r="AT117" s="2357"/>
      <c r="AU117" s="2357"/>
      <c r="AV117" s="2357"/>
      <c r="AW117" s="2357"/>
      <c r="AX117" s="2358"/>
      <c r="AY117" s="1207"/>
      <c r="AZ117" s="1207"/>
      <c r="BA117" s="1207"/>
      <c r="BB117" s="1207"/>
      <c r="BC117" s="1207"/>
      <c r="BD117" s="1207"/>
      <c r="BE117" s="1213"/>
    </row>
    <row r="118" spans="1:57" ht="15.75" customHeight="1">
      <c r="A118" s="1207"/>
      <c r="B118" s="2356"/>
      <c r="C118" s="2357"/>
      <c r="D118" s="2357"/>
      <c r="E118" s="2357"/>
      <c r="F118" s="2357"/>
      <c r="G118" s="2357"/>
      <c r="H118" s="2357"/>
      <c r="I118" s="2357"/>
      <c r="J118" s="2357"/>
      <c r="K118" s="2357"/>
      <c r="L118" s="2357"/>
      <c r="M118" s="2357"/>
      <c r="N118" s="2357"/>
      <c r="O118" s="2357"/>
      <c r="P118" s="2357"/>
      <c r="Q118" s="2357"/>
      <c r="R118" s="2357"/>
      <c r="S118" s="2357"/>
      <c r="T118" s="2357"/>
      <c r="U118" s="2357"/>
      <c r="V118" s="2357"/>
      <c r="W118" s="2357"/>
      <c r="X118" s="2357"/>
      <c r="Y118" s="2357"/>
      <c r="Z118" s="2357"/>
      <c r="AA118" s="2357"/>
      <c r="AB118" s="2357"/>
      <c r="AC118" s="2357"/>
      <c r="AD118" s="2357"/>
      <c r="AE118" s="2357"/>
      <c r="AF118" s="2357"/>
      <c r="AG118" s="2357"/>
      <c r="AH118" s="2357"/>
      <c r="AI118" s="2357"/>
      <c r="AJ118" s="2357"/>
      <c r="AK118" s="2357"/>
      <c r="AL118" s="2357"/>
      <c r="AM118" s="2357"/>
      <c r="AN118" s="2357"/>
      <c r="AO118" s="2357"/>
      <c r="AP118" s="2357"/>
      <c r="AQ118" s="2357"/>
      <c r="AR118" s="2357"/>
      <c r="AS118" s="2357"/>
      <c r="AT118" s="2357"/>
      <c r="AU118" s="2357"/>
      <c r="AV118" s="2357"/>
      <c r="AW118" s="2357"/>
      <c r="AX118" s="2358"/>
      <c r="AY118" s="1207"/>
      <c r="AZ118" s="1207"/>
      <c r="BA118" s="1207"/>
      <c r="BB118" s="1207"/>
      <c r="BC118" s="1207"/>
      <c r="BD118" s="1207"/>
      <c r="BE118" s="1213"/>
    </row>
    <row r="119" spans="1:57" ht="15.75" customHeight="1">
      <c r="A119" s="1207"/>
      <c r="B119" s="2356"/>
      <c r="C119" s="2357"/>
      <c r="D119" s="2357"/>
      <c r="E119" s="2357"/>
      <c r="F119" s="2357"/>
      <c r="G119" s="2357"/>
      <c r="H119" s="2357"/>
      <c r="I119" s="2357"/>
      <c r="J119" s="2357"/>
      <c r="K119" s="2357"/>
      <c r="L119" s="2357"/>
      <c r="M119" s="2357"/>
      <c r="N119" s="2357"/>
      <c r="O119" s="2357"/>
      <c r="P119" s="2357"/>
      <c r="Q119" s="2357"/>
      <c r="R119" s="2357"/>
      <c r="S119" s="2357"/>
      <c r="T119" s="2357"/>
      <c r="U119" s="2357"/>
      <c r="V119" s="2357"/>
      <c r="W119" s="2357"/>
      <c r="X119" s="2357"/>
      <c r="Y119" s="2357"/>
      <c r="Z119" s="2357"/>
      <c r="AA119" s="2357"/>
      <c r="AB119" s="2357"/>
      <c r="AC119" s="2357"/>
      <c r="AD119" s="2357"/>
      <c r="AE119" s="2357"/>
      <c r="AF119" s="2357"/>
      <c r="AG119" s="2357"/>
      <c r="AH119" s="2357"/>
      <c r="AI119" s="2357"/>
      <c r="AJ119" s="2357"/>
      <c r="AK119" s="2357"/>
      <c r="AL119" s="2357"/>
      <c r="AM119" s="2357"/>
      <c r="AN119" s="2357"/>
      <c r="AO119" s="2357"/>
      <c r="AP119" s="2357"/>
      <c r="AQ119" s="2357"/>
      <c r="AR119" s="2357"/>
      <c r="AS119" s="2357"/>
      <c r="AT119" s="2357"/>
      <c r="AU119" s="2357"/>
      <c r="AV119" s="2357"/>
      <c r="AW119" s="2357"/>
      <c r="AX119" s="2358"/>
      <c r="AY119" s="1207"/>
      <c r="AZ119" s="1207"/>
      <c r="BA119" s="1207"/>
      <c r="BB119" s="1207"/>
      <c r="BC119" s="1207"/>
      <c r="BD119" s="1207"/>
      <c r="BE119" s="1213"/>
    </row>
    <row r="120" spans="1:57" ht="15.75" customHeight="1">
      <c r="A120" s="1207"/>
      <c r="B120" s="2356"/>
      <c r="C120" s="2357"/>
      <c r="D120" s="2357"/>
      <c r="E120" s="2357"/>
      <c r="F120" s="2357"/>
      <c r="G120" s="2357"/>
      <c r="H120" s="2357"/>
      <c r="I120" s="2357"/>
      <c r="J120" s="2357"/>
      <c r="K120" s="2357"/>
      <c r="L120" s="2357"/>
      <c r="M120" s="2357"/>
      <c r="N120" s="2357"/>
      <c r="O120" s="2357"/>
      <c r="P120" s="2357"/>
      <c r="Q120" s="2357"/>
      <c r="R120" s="2357"/>
      <c r="S120" s="2357"/>
      <c r="T120" s="2357"/>
      <c r="U120" s="2357"/>
      <c r="V120" s="2357"/>
      <c r="W120" s="2357"/>
      <c r="X120" s="2357"/>
      <c r="Y120" s="2357"/>
      <c r="Z120" s="2357"/>
      <c r="AA120" s="2357"/>
      <c r="AB120" s="2357"/>
      <c r="AC120" s="2357"/>
      <c r="AD120" s="2357"/>
      <c r="AE120" s="2357"/>
      <c r="AF120" s="2357"/>
      <c r="AG120" s="2357"/>
      <c r="AH120" s="2357"/>
      <c r="AI120" s="2357"/>
      <c r="AJ120" s="2357"/>
      <c r="AK120" s="2357"/>
      <c r="AL120" s="2357"/>
      <c r="AM120" s="2357"/>
      <c r="AN120" s="2357"/>
      <c r="AO120" s="2357"/>
      <c r="AP120" s="2357"/>
      <c r="AQ120" s="2357"/>
      <c r="AR120" s="2357"/>
      <c r="AS120" s="2357"/>
      <c r="AT120" s="2357"/>
      <c r="AU120" s="2357"/>
      <c r="AV120" s="2357"/>
      <c r="AW120" s="2357"/>
      <c r="AX120" s="2358"/>
      <c r="AY120" s="1207"/>
      <c r="AZ120" s="1207"/>
      <c r="BA120" s="1207"/>
      <c r="BB120" s="1207"/>
      <c r="BC120" s="1207"/>
      <c r="BD120" s="1207"/>
      <c r="BE120" s="1213"/>
    </row>
    <row r="121" spans="1:57" ht="15.75" customHeight="1" thickBot="1">
      <c r="A121" s="1207"/>
      <c r="B121" s="2359"/>
      <c r="C121" s="2360"/>
      <c r="D121" s="2360"/>
      <c r="E121" s="2360"/>
      <c r="F121" s="2360"/>
      <c r="G121" s="2360"/>
      <c r="H121" s="2360"/>
      <c r="I121" s="2360"/>
      <c r="J121" s="2360"/>
      <c r="K121" s="2360"/>
      <c r="L121" s="2360"/>
      <c r="M121" s="2360"/>
      <c r="N121" s="2360"/>
      <c r="O121" s="2360"/>
      <c r="P121" s="2360"/>
      <c r="Q121" s="2360"/>
      <c r="R121" s="2360"/>
      <c r="S121" s="2360"/>
      <c r="T121" s="2360"/>
      <c r="U121" s="2360"/>
      <c r="V121" s="2360"/>
      <c r="W121" s="2360"/>
      <c r="X121" s="2360"/>
      <c r="Y121" s="2360"/>
      <c r="Z121" s="2360"/>
      <c r="AA121" s="2360"/>
      <c r="AB121" s="2360"/>
      <c r="AC121" s="2360"/>
      <c r="AD121" s="2360"/>
      <c r="AE121" s="2360"/>
      <c r="AF121" s="2360"/>
      <c r="AG121" s="2360"/>
      <c r="AH121" s="2360"/>
      <c r="AI121" s="2360"/>
      <c r="AJ121" s="2360"/>
      <c r="AK121" s="2360"/>
      <c r="AL121" s="2360"/>
      <c r="AM121" s="2360"/>
      <c r="AN121" s="2360"/>
      <c r="AO121" s="2360"/>
      <c r="AP121" s="2360"/>
      <c r="AQ121" s="2360"/>
      <c r="AR121" s="2360"/>
      <c r="AS121" s="2360"/>
      <c r="AT121" s="2360"/>
      <c r="AU121" s="2360"/>
      <c r="AV121" s="2360"/>
      <c r="AW121" s="2360"/>
      <c r="AX121" s="2361"/>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1906</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2265</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18" t="s">
        <v>1907</v>
      </c>
      <c r="C125" s="2219"/>
      <c r="D125" s="2219"/>
      <c r="E125" s="2219"/>
      <c r="F125" s="2219"/>
      <c r="G125" s="2219"/>
      <c r="H125" s="2219"/>
      <c r="I125" s="2219"/>
      <c r="J125" s="2219"/>
      <c r="K125" s="2219"/>
      <c r="L125" s="2219"/>
      <c r="M125" s="2219"/>
      <c r="N125" s="2219"/>
      <c r="O125" s="2219"/>
      <c r="P125" s="2219"/>
      <c r="Q125" s="2219"/>
      <c r="R125" s="2219"/>
      <c r="S125" s="2219"/>
      <c r="T125" s="2219"/>
      <c r="U125" s="2220"/>
      <c r="V125" s="1207"/>
      <c r="W125" s="1209"/>
      <c r="X125" s="2218" t="s">
        <v>2266</v>
      </c>
      <c r="Y125" s="2219"/>
      <c r="Z125" s="2219"/>
      <c r="AA125" s="2219"/>
      <c r="AB125" s="2219"/>
      <c r="AC125" s="2219"/>
      <c r="AD125" s="2219"/>
      <c r="AE125" s="2219"/>
      <c r="AF125" s="2219"/>
      <c r="AG125" s="2219"/>
      <c r="AH125" s="2219"/>
      <c r="AI125" s="2219"/>
      <c r="AJ125" s="2219"/>
      <c r="AK125" s="2219"/>
      <c r="AL125" s="2219"/>
      <c r="AM125" s="2219"/>
      <c r="AN125" s="2219"/>
      <c r="AO125" s="2219"/>
      <c r="AP125" s="2219"/>
      <c r="AQ125" s="2220"/>
      <c r="AR125" s="1207"/>
      <c r="AS125" s="1207"/>
      <c r="AT125" s="1207"/>
      <c r="AU125" s="1207"/>
      <c r="AV125" s="1207"/>
      <c r="AW125" s="1207"/>
      <c r="AX125" s="1207"/>
      <c r="AY125" s="1207"/>
      <c r="AZ125" s="1207"/>
      <c r="BA125" s="1207"/>
      <c r="BB125" s="1207"/>
      <c r="BC125" s="1207"/>
      <c r="BD125" s="1207"/>
      <c r="BE125" s="1213"/>
    </row>
    <row r="126" spans="1:57" ht="15.75" customHeight="1">
      <c r="A126" s="1207"/>
      <c r="B126" s="2335"/>
      <c r="C126" s="2336"/>
      <c r="D126" s="2336"/>
      <c r="E126" s="2336"/>
      <c r="F126" s="2336"/>
      <c r="G126" s="2336"/>
      <c r="H126" s="2336"/>
      <c r="I126" s="2337" t="s">
        <v>1896</v>
      </c>
      <c r="J126" s="2337"/>
      <c r="K126" s="2337"/>
      <c r="L126" s="2337"/>
      <c r="M126" s="2337"/>
      <c r="N126" s="2337"/>
      <c r="O126" s="2337"/>
      <c r="P126" s="2337" t="s">
        <v>2267</v>
      </c>
      <c r="Q126" s="2337"/>
      <c r="R126" s="2337"/>
      <c r="S126" s="2337"/>
      <c r="T126" s="2337"/>
      <c r="U126" s="2338"/>
      <c r="V126" s="1207"/>
      <c r="W126" s="1207"/>
      <c r="X126" s="2335"/>
      <c r="Y126" s="2336"/>
      <c r="Z126" s="2336"/>
      <c r="AA126" s="2336"/>
      <c r="AB126" s="2336"/>
      <c r="AC126" s="2336"/>
      <c r="AD126" s="2336"/>
      <c r="AE126" s="2337" t="s">
        <v>1896</v>
      </c>
      <c r="AF126" s="2337"/>
      <c r="AG126" s="2337"/>
      <c r="AH126" s="2337"/>
      <c r="AI126" s="2337"/>
      <c r="AJ126" s="2337"/>
      <c r="AK126" s="2337"/>
      <c r="AL126" s="2337" t="s">
        <v>2261</v>
      </c>
      <c r="AM126" s="2337"/>
      <c r="AN126" s="2337"/>
      <c r="AO126" s="2337"/>
      <c r="AP126" s="2337"/>
      <c r="AQ126" s="2338"/>
      <c r="AR126" s="1207"/>
      <c r="AS126" s="1207"/>
      <c r="AT126" s="1207"/>
      <c r="AU126" s="1207"/>
      <c r="AV126" s="1207"/>
      <c r="AW126" s="1207"/>
      <c r="AX126" s="1207"/>
      <c r="AY126" s="1207"/>
      <c r="AZ126" s="1207"/>
      <c r="BA126" s="1207"/>
      <c r="BB126" s="1207"/>
      <c r="BC126" s="1207"/>
      <c r="BD126" s="1207"/>
      <c r="BE126" s="1213"/>
    </row>
    <row r="127" spans="1:57" ht="15.75" customHeight="1">
      <c r="A127" s="1207"/>
      <c r="B127" s="2335"/>
      <c r="C127" s="2336"/>
      <c r="D127" s="2336"/>
      <c r="E127" s="2336"/>
      <c r="F127" s="2336"/>
      <c r="G127" s="2336"/>
      <c r="H127" s="2336"/>
      <c r="I127" s="2337"/>
      <c r="J127" s="2337"/>
      <c r="K127" s="2337"/>
      <c r="L127" s="2337"/>
      <c r="M127" s="2337"/>
      <c r="N127" s="2337"/>
      <c r="O127" s="2337"/>
      <c r="P127" s="2337"/>
      <c r="Q127" s="2337"/>
      <c r="R127" s="2337"/>
      <c r="S127" s="2337"/>
      <c r="T127" s="2337"/>
      <c r="U127" s="2338"/>
      <c r="V127" s="1207"/>
      <c r="W127" s="1207"/>
      <c r="X127" s="2335"/>
      <c r="Y127" s="2336"/>
      <c r="Z127" s="2336"/>
      <c r="AA127" s="2336"/>
      <c r="AB127" s="2336"/>
      <c r="AC127" s="2336"/>
      <c r="AD127" s="2336"/>
      <c r="AE127" s="2337"/>
      <c r="AF127" s="2337"/>
      <c r="AG127" s="2337"/>
      <c r="AH127" s="2337"/>
      <c r="AI127" s="2337"/>
      <c r="AJ127" s="2337"/>
      <c r="AK127" s="2337"/>
      <c r="AL127" s="2337"/>
      <c r="AM127" s="2337"/>
      <c r="AN127" s="2337"/>
      <c r="AO127" s="2337"/>
      <c r="AP127" s="2337"/>
      <c r="AQ127" s="2338"/>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46" t="s">
        <v>2249</v>
      </c>
      <c r="C128" s="2347"/>
      <c r="D128" s="2347"/>
      <c r="E128" s="2347"/>
      <c r="F128" s="2347"/>
      <c r="G128" s="2347"/>
      <c r="H128" s="2347"/>
      <c r="I128" s="2322">
        <v>0</v>
      </c>
      <c r="J128" s="2322"/>
      <c r="K128" s="2322"/>
      <c r="L128" s="2322"/>
      <c r="M128" s="2322"/>
      <c r="N128" s="2322"/>
      <c r="O128" s="2322"/>
      <c r="P128" s="2322">
        <v>0</v>
      </c>
      <c r="Q128" s="2322"/>
      <c r="R128" s="2322"/>
      <c r="S128" s="2322"/>
      <c r="T128" s="2322"/>
      <c r="U128" s="2331"/>
      <c r="V128" s="1207"/>
      <c r="W128" s="1207"/>
      <c r="X128" s="2348" t="s">
        <v>2249</v>
      </c>
      <c r="Y128" s="2349"/>
      <c r="Z128" s="2349"/>
      <c r="AA128" s="2349"/>
      <c r="AB128" s="2349"/>
      <c r="AC128" s="2349"/>
      <c r="AD128" s="2349"/>
      <c r="AE128" s="2329">
        <v>0</v>
      </c>
      <c r="AF128" s="2329"/>
      <c r="AG128" s="2329"/>
      <c r="AH128" s="2329"/>
      <c r="AI128" s="2329"/>
      <c r="AJ128" s="2329"/>
      <c r="AK128" s="2329"/>
      <c r="AL128" s="2329">
        <v>0</v>
      </c>
      <c r="AM128" s="2329"/>
      <c r="AN128" s="2329"/>
      <c r="AO128" s="2329"/>
      <c r="AP128" s="2329"/>
      <c r="AQ128" s="2330"/>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48" t="s">
        <v>2250</v>
      </c>
      <c r="C129" s="2349"/>
      <c r="D129" s="2349"/>
      <c r="E129" s="2349"/>
      <c r="F129" s="2349"/>
      <c r="G129" s="2349"/>
      <c r="H129" s="2349"/>
      <c r="I129" s="2329">
        <v>0</v>
      </c>
      <c r="J129" s="2329"/>
      <c r="K129" s="2329"/>
      <c r="L129" s="2329"/>
      <c r="M129" s="2329"/>
      <c r="N129" s="2329"/>
      <c r="O129" s="2329"/>
      <c r="P129" s="2329">
        <v>0</v>
      </c>
      <c r="Q129" s="2329"/>
      <c r="R129" s="2329"/>
      <c r="S129" s="2329"/>
      <c r="T129" s="2329"/>
      <c r="U129" s="2330"/>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18" t="s">
        <v>2251</v>
      </c>
      <c r="D131" s="2219"/>
      <c r="E131" s="2219"/>
      <c r="F131" s="2219"/>
      <c r="G131" s="2219"/>
      <c r="H131" s="2219"/>
      <c r="I131" s="2219"/>
      <c r="J131" s="2219"/>
      <c r="K131" s="2219"/>
      <c r="L131" s="2219"/>
      <c r="M131" s="2219"/>
      <c r="N131" s="2219"/>
      <c r="O131" s="2219"/>
      <c r="P131" s="2219"/>
      <c r="Q131" s="2219"/>
      <c r="R131" s="2219"/>
      <c r="S131" s="2219"/>
      <c r="T131" s="2219"/>
      <c r="U131" s="2219"/>
      <c r="V131" s="2219"/>
      <c r="W131" s="2219"/>
      <c r="X131" s="2219"/>
      <c r="Y131" s="2219"/>
      <c r="Z131" s="2219"/>
      <c r="AA131" s="2219"/>
      <c r="AB131" s="2219"/>
      <c r="AC131" s="2219"/>
      <c r="AD131" s="2219"/>
      <c r="AE131" s="2219"/>
      <c r="AF131" s="2219"/>
      <c r="AG131" s="2220"/>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35" t="s">
        <v>1908</v>
      </c>
      <c r="D132" s="2336"/>
      <c r="E132" s="2336"/>
      <c r="F132" s="2336"/>
      <c r="G132" s="2336"/>
      <c r="H132" s="2336"/>
      <c r="I132" s="2336"/>
      <c r="J132" s="2336"/>
      <c r="K132" s="2336"/>
      <c r="L132" s="2336"/>
      <c r="M132" s="2336"/>
      <c r="N132" s="2336"/>
      <c r="O132" s="2336"/>
      <c r="P132" s="2336"/>
      <c r="Q132" s="2336" t="s">
        <v>1909</v>
      </c>
      <c r="R132" s="2336"/>
      <c r="S132" s="2336"/>
      <c r="T132" s="2226" t="s">
        <v>2252</v>
      </c>
      <c r="U132" s="2226"/>
      <c r="V132" s="2226"/>
      <c r="W132" s="2226"/>
      <c r="X132" s="2226"/>
      <c r="Y132" s="2226"/>
      <c r="Z132" s="2226"/>
      <c r="AA132" s="2226"/>
      <c r="AB132" s="2336" t="s">
        <v>1910</v>
      </c>
      <c r="AC132" s="2336"/>
      <c r="AD132" s="2336"/>
      <c r="AE132" s="2336"/>
      <c r="AF132" s="2336"/>
      <c r="AG132" s="2367"/>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62" t="s">
        <v>1911</v>
      </c>
      <c r="D133" s="2363"/>
      <c r="E133" s="2363"/>
      <c r="F133" s="2363"/>
      <c r="G133" s="2363"/>
      <c r="H133" s="2363"/>
      <c r="I133" s="2363"/>
      <c r="J133" s="2363"/>
      <c r="K133" s="2363"/>
      <c r="L133" s="2363"/>
      <c r="M133" s="2363"/>
      <c r="N133" s="2363"/>
      <c r="O133" s="2363"/>
      <c r="P133" s="2363"/>
      <c r="Q133" s="2364">
        <v>55</v>
      </c>
      <c r="R133" s="2364"/>
      <c r="S133" s="2364"/>
      <c r="T133" s="2365"/>
      <c r="U133" s="2365"/>
      <c r="V133" s="2365"/>
      <c r="W133" s="2365"/>
      <c r="X133" s="2365"/>
      <c r="Y133" s="2365"/>
      <c r="Z133" s="2365"/>
      <c r="AA133" s="2365"/>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62" t="s">
        <v>1912</v>
      </c>
      <c r="D134" s="2363"/>
      <c r="E134" s="2363"/>
      <c r="F134" s="2363"/>
      <c r="G134" s="2363"/>
      <c r="H134" s="2363"/>
      <c r="I134" s="2363"/>
      <c r="J134" s="2363"/>
      <c r="K134" s="2363"/>
      <c r="L134" s="2363"/>
      <c r="M134" s="2363"/>
      <c r="N134" s="2363"/>
      <c r="O134" s="2363"/>
      <c r="P134" s="2363"/>
      <c r="Q134" s="2364">
        <v>55</v>
      </c>
      <c r="R134" s="2364"/>
      <c r="S134" s="2364"/>
      <c r="T134" s="2366"/>
      <c r="U134" s="2366"/>
      <c r="V134" s="2366"/>
      <c r="W134" s="2366"/>
      <c r="X134" s="2366"/>
      <c r="Y134" s="2366"/>
      <c r="Z134" s="2366"/>
      <c r="AA134" s="2366"/>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62" t="s">
        <v>1913</v>
      </c>
      <c r="D135" s="2363"/>
      <c r="E135" s="2363"/>
      <c r="F135" s="2363"/>
      <c r="G135" s="2363"/>
      <c r="H135" s="2363"/>
      <c r="I135" s="2363"/>
      <c r="J135" s="2363"/>
      <c r="K135" s="2363"/>
      <c r="L135" s="2363"/>
      <c r="M135" s="2363"/>
      <c r="N135" s="2363"/>
      <c r="O135" s="2363"/>
      <c r="P135" s="2363"/>
      <c r="Q135" s="2364">
        <v>55</v>
      </c>
      <c r="R135" s="2364"/>
      <c r="S135" s="2364"/>
      <c r="T135" s="2365"/>
      <c r="U135" s="2365"/>
      <c r="V135" s="2365"/>
      <c r="W135" s="2365"/>
      <c r="X135" s="2365"/>
      <c r="Y135" s="2365"/>
      <c r="Z135" s="2365"/>
      <c r="AA135" s="2365"/>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62" t="s">
        <v>1881</v>
      </c>
      <c r="D136" s="2363"/>
      <c r="E136" s="2363"/>
      <c r="F136" s="2363"/>
      <c r="G136" s="2363"/>
      <c r="H136" s="2363"/>
      <c r="I136" s="2363"/>
      <c r="J136" s="2363"/>
      <c r="K136" s="2363"/>
      <c r="L136" s="2363"/>
      <c r="M136" s="2363"/>
      <c r="N136" s="2363"/>
      <c r="O136" s="2363"/>
      <c r="P136" s="2363"/>
      <c r="Q136" s="2364">
        <v>55</v>
      </c>
      <c r="R136" s="2364"/>
      <c r="S136" s="2364"/>
      <c r="T136" s="2365"/>
      <c r="U136" s="2365"/>
      <c r="V136" s="2365"/>
      <c r="W136" s="2365"/>
      <c r="X136" s="2365"/>
      <c r="Y136" s="2365"/>
      <c r="Z136" s="2365"/>
      <c r="AA136" s="2365"/>
      <c r="AB136" s="2368">
        <v>0</v>
      </c>
      <c r="AC136" s="2368"/>
      <c r="AD136" s="2368"/>
      <c r="AE136" s="2368"/>
      <c r="AF136" s="2368"/>
      <c r="AG136" s="2369"/>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62" t="s">
        <v>171</v>
      </c>
      <c r="D137" s="2363"/>
      <c r="E137" s="2363"/>
      <c r="F137" s="2370" t="s">
        <v>1914</v>
      </c>
      <c r="G137" s="2370"/>
      <c r="H137" s="2370"/>
      <c r="I137" s="2370"/>
      <c r="J137" s="2370"/>
      <c r="K137" s="2370"/>
      <c r="L137" s="2370"/>
      <c r="M137" s="2370"/>
      <c r="N137" s="2370"/>
      <c r="O137" s="2370"/>
      <c r="P137" s="2370"/>
      <c r="Q137" s="2364">
        <v>55</v>
      </c>
      <c r="R137" s="2364"/>
      <c r="S137" s="2364"/>
      <c r="T137" s="2366"/>
      <c r="U137" s="2366"/>
      <c r="V137" s="2366"/>
      <c r="W137" s="2366"/>
      <c r="X137" s="2366"/>
      <c r="Y137" s="2366"/>
      <c r="Z137" s="2366"/>
      <c r="AA137" s="2366"/>
      <c r="AB137" s="2368">
        <v>0</v>
      </c>
      <c r="AC137" s="2368"/>
      <c r="AD137" s="2368"/>
      <c r="AE137" s="2368"/>
      <c r="AF137" s="2368"/>
      <c r="AG137" s="2369"/>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62" t="s">
        <v>171</v>
      </c>
      <c r="D138" s="2363"/>
      <c r="E138" s="2363"/>
      <c r="F138" s="2370" t="s">
        <v>1914</v>
      </c>
      <c r="G138" s="2370"/>
      <c r="H138" s="2370"/>
      <c r="I138" s="2370"/>
      <c r="J138" s="2370"/>
      <c r="K138" s="2370"/>
      <c r="L138" s="2370"/>
      <c r="M138" s="2370"/>
      <c r="N138" s="2370"/>
      <c r="O138" s="2370"/>
      <c r="P138" s="2370"/>
      <c r="Q138" s="2364">
        <v>55</v>
      </c>
      <c r="R138" s="2364"/>
      <c r="S138" s="2364"/>
      <c r="T138" s="2366"/>
      <c r="U138" s="2366"/>
      <c r="V138" s="2366"/>
      <c r="W138" s="2366"/>
      <c r="X138" s="2366"/>
      <c r="Y138" s="2366"/>
      <c r="Z138" s="2366"/>
      <c r="AA138" s="2366"/>
      <c r="AB138" s="2368">
        <v>0</v>
      </c>
      <c r="AC138" s="2368"/>
      <c r="AD138" s="2368"/>
      <c r="AE138" s="2368"/>
      <c r="AF138" s="2368"/>
      <c r="AG138" s="2369"/>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1" t="s">
        <v>171</v>
      </c>
      <c r="D139" s="2372"/>
      <c r="E139" s="2372"/>
      <c r="F139" s="2373" t="s">
        <v>1914</v>
      </c>
      <c r="G139" s="2373"/>
      <c r="H139" s="2373"/>
      <c r="I139" s="2373"/>
      <c r="J139" s="2373"/>
      <c r="K139" s="2373"/>
      <c r="L139" s="2373"/>
      <c r="M139" s="2373"/>
      <c r="N139" s="2373"/>
      <c r="O139" s="2373"/>
      <c r="P139" s="2373"/>
      <c r="Q139" s="2374">
        <v>55</v>
      </c>
      <c r="R139" s="2374"/>
      <c r="S139" s="2374"/>
      <c r="T139" s="2375"/>
      <c r="U139" s="2375"/>
      <c r="V139" s="2375"/>
      <c r="W139" s="2375"/>
      <c r="X139" s="2375"/>
      <c r="Y139" s="2375"/>
      <c r="Z139" s="2375"/>
      <c r="AA139" s="2375"/>
      <c r="AB139" s="2376">
        <v>0</v>
      </c>
      <c r="AC139" s="2376"/>
      <c r="AD139" s="2376"/>
      <c r="AE139" s="2376"/>
      <c r="AF139" s="2376"/>
      <c r="AG139" s="2377"/>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95" t="s">
        <v>1915</v>
      </c>
      <c r="D141" s="2296"/>
      <c r="E141" s="2296"/>
      <c r="F141" s="2296"/>
      <c r="G141" s="2296"/>
      <c r="H141" s="2296"/>
      <c r="I141" s="2296"/>
      <c r="J141" s="2296"/>
      <c r="K141" s="2296"/>
      <c r="L141" s="2296"/>
      <c r="M141" s="2296"/>
      <c r="N141" s="2332"/>
      <c r="O141" s="1207"/>
      <c r="P141" s="2350" t="s">
        <v>1916</v>
      </c>
      <c r="Q141" s="2351"/>
      <c r="R141" s="2351"/>
      <c r="S141" s="2351"/>
      <c r="T141" s="2351"/>
      <c r="U141" s="2351"/>
      <c r="V141" s="2351"/>
      <c r="W141" s="2351"/>
      <c r="X141" s="2351"/>
      <c r="Y141" s="2351"/>
      <c r="Z141" s="2351"/>
      <c r="AA141" s="2351"/>
      <c r="AB141" s="2351"/>
      <c r="AC141" s="2351"/>
      <c r="AD141" s="2351"/>
      <c r="AE141" s="2351"/>
      <c r="AF141" s="2351"/>
      <c r="AG141" s="2351"/>
      <c r="AH141" s="2351"/>
      <c r="AI141" s="2351"/>
      <c r="AJ141" s="2351"/>
      <c r="AK141" s="2351"/>
      <c r="AL141" s="2351"/>
      <c r="AM141" s="2351"/>
      <c r="AN141" s="2351"/>
      <c r="AO141" s="2379"/>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35" t="s">
        <v>1917</v>
      </c>
      <c r="D142" s="2336"/>
      <c r="E142" s="2336"/>
      <c r="F142" s="2336"/>
      <c r="G142" s="2336"/>
      <c r="H142" s="2336"/>
      <c r="I142" s="2336" t="s">
        <v>1918</v>
      </c>
      <c r="J142" s="2336"/>
      <c r="K142" s="2336"/>
      <c r="L142" s="2336"/>
      <c r="M142" s="2336"/>
      <c r="N142" s="2367"/>
      <c r="O142" s="1207"/>
      <c r="P142" s="2299" t="s">
        <v>2260</v>
      </c>
      <c r="Q142" s="2300"/>
      <c r="R142" s="2300"/>
      <c r="S142" s="2300"/>
      <c r="T142" s="2300"/>
      <c r="U142" s="2300"/>
      <c r="V142" s="2300"/>
      <c r="W142" s="2300"/>
      <c r="X142" s="2300"/>
      <c r="Y142" s="2300"/>
      <c r="Z142" s="2300"/>
      <c r="AA142" s="2300"/>
      <c r="AB142" s="2300"/>
      <c r="AC142" s="2300"/>
      <c r="AD142" s="2300"/>
      <c r="AE142" s="2300"/>
      <c r="AF142" s="2300"/>
      <c r="AG142" s="2300"/>
      <c r="AH142" s="2300"/>
      <c r="AI142" s="2300"/>
      <c r="AJ142" s="2300"/>
      <c r="AK142" s="2300"/>
      <c r="AL142" s="2300"/>
      <c r="AM142" s="2300"/>
      <c r="AN142" s="2300"/>
      <c r="AO142" s="2301"/>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05"/>
      <c r="D143" s="2250"/>
      <c r="E143" s="2250"/>
      <c r="F143" s="2250"/>
      <c r="G143" s="2250"/>
      <c r="H143" s="2250"/>
      <c r="I143" s="2365"/>
      <c r="J143" s="2365"/>
      <c r="K143" s="2365"/>
      <c r="L143" s="2365"/>
      <c r="M143" s="2365"/>
      <c r="N143" s="2378"/>
      <c r="O143" s="1207"/>
      <c r="P143" s="2299"/>
      <c r="Q143" s="2300"/>
      <c r="R143" s="2300"/>
      <c r="S143" s="2300"/>
      <c r="T143" s="2300"/>
      <c r="U143" s="2300"/>
      <c r="V143" s="2300"/>
      <c r="W143" s="2300"/>
      <c r="X143" s="2300"/>
      <c r="Y143" s="2300"/>
      <c r="Z143" s="2300"/>
      <c r="AA143" s="2300"/>
      <c r="AB143" s="2300"/>
      <c r="AC143" s="2300"/>
      <c r="AD143" s="2300"/>
      <c r="AE143" s="2300"/>
      <c r="AF143" s="2300"/>
      <c r="AG143" s="2300"/>
      <c r="AH143" s="2300"/>
      <c r="AI143" s="2300"/>
      <c r="AJ143" s="2300"/>
      <c r="AK143" s="2300"/>
      <c r="AL143" s="2300"/>
      <c r="AM143" s="2300"/>
      <c r="AN143" s="2300"/>
      <c r="AO143" s="2301"/>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05"/>
      <c r="D144" s="2250"/>
      <c r="E144" s="2250"/>
      <c r="F144" s="2250"/>
      <c r="G144" s="2250"/>
      <c r="H144" s="2250"/>
      <c r="I144" s="2365"/>
      <c r="J144" s="2365"/>
      <c r="K144" s="2365"/>
      <c r="L144" s="2365"/>
      <c r="M144" s="2365"/>
      <c r="N144" s="2378"/>
      <c r="O144" s="1207"/>
      <c r="P144" s="2299"/>
      <c r="Q144" s="2300"/>
      <c r="R144" s="2300"/>
      <c r="S144" s="2300"/>
      <c r="T144" s="2300"/>
      <c r="U144" s="2300"/>
      <c r="V144" s="2300"/>
      <c r="W144" s="2300"/>
      <c r="X144" s="2300"/>
      <c r="Y144" s="2300"/>
      <c r="Z144" s="2300"/>
      <c r="AA144" s="2300"/>
      <c r="AB144" s="2300"/>
      <c r="AC144" s="2300"/>
      <c r="AD144" s="2300"/>
      <c r="AE144" s="2300"/>
      <c r="AF144" s="2300"/>
      <c r="AG144" s="2300"/>
      <c r="AH144" s="2300"/>
      <c r="AI144" s="2300"/>
      <c r="AJ144" s="2300"/>
      <c r="AK144" s="2300"/>
      <c r="AL144" s="2300"/>
      <c r="AM144" s="2300"/>
      <c r="AN144" s="2300"/>
      <c r="AO144" s="2301"/>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05"/>
      <c r="D145" s="2250"/>
      <c r="E145" s="2250"/>
      <c r="F145" s="2250"/>
      <c r="G145" s="2250"/>
      <c r="H145" s="2250"/>
      <c r="I145" s="2365"/>
      <c r="J145" s="2365"/>
      <c r="K145" s="2365"/>
      <c r="L145" s="2365"/>
      <c r="M145" s="2365"/>
      <c r="N145" s="2378"/>
      <c r="O145" s="1207"/>
      <c r="P145" s="2299"/>
      <c r="Q145" s="2300"/>
      <c r="R145" s="2300"/>
      <c r="S145" s="2300"/>
      <c r="T145" s="2300"/>
      <c r="U145" s="2300"/>
      <c r="V145" s="2300"/>
      <c r="W145" s="2300"/>
      <c r="X145" s="2300"/>
      <c r="Y145" s="2300"/>
      <c r="Z145" s="2300"/>
      <c r="AA145" s="2300"/>
      <c r="AB145" s="2300"/>
      <c r="AC145" s="2300"/>
      <c r="AD145" s="2300"/>
      <c r="AE145" s="2300"/>
      <c r="AF145" s="2300"/>
      <c r="AG145" s="2300"/>
      <c r="AH145" s="2300"/>
      <c r="AI145" s="2300"/>
      <c r="AJ145" s="2300"/>
      <c r="AK145" s="2300"/>
      <c r="AL145" s="2300"/>
      <c r="AM145" s="2300"/>
      <c r="AN145" s="2300"/>
      <c r="AO145" s="2301"/>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05"/>
      <c r="D146" s="2250"/>
      <c r="E146" s="2250"/>
      <c r="F146" s="2250"/>
      <c r="G146" s="2250"/>
      <c r="H146" s="2250"/>
      <c r="I146" s="2365"/>
      <c r="J146" s="2365"/>
      <c r="K146" s="2365"/>
      <c r="L146" s="2365"/>
      <c r="M146" s="2365"/>
      <c r="N146" s="2378"/>
      <c r="O146" s="1207"/>
      <c r="P146" s="2299"/>
      <c r="Q146" s="2300"/>
      <c r="R146" s="2300"/>
      <c r="S146" s="2300"/>
      <c r="T146" s="2300"/>
      <c r="U146" s="2300"/>
      <c r="V146" s="2300"/>
      <c r="W146" s="2300"/>
      <c r="X146" s="2300"/>
      <c r="Y146" s="2300"/>
      <c r="Z146" s="2300"/>
      <c r="AA146" s="2300"/>
      <c r="AB146" s="2300"/>
      <c r="AC146" s="2300"/>
      <c r="AD146" s="2300"/>
      <c r="AE146" s="2300"/>
      <c r="AF146" s="2300"/>
      <c r="AG146" s="2300"/>
      <c r="AH146" s="2300"/>
      <c r="AI146" s="2300"/>
      <c r="AJ146" s="2300"/>
      <c r="AK146" s="2300"/>
      <c r="AL146" s="2300"/>
      <c r="AM146" s="2300"/>
      <c r="AN146" s="2300"/>
      <c r="AO146" s="2301"/>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05"/>
      <c r="D147" s="2250"/>
      <c r="E147" s="2250"/>
      <c r="F147" s="2250"/>
      <c r="G147" s="2250"/>
      <c r="H147" s="2250"/>
      <c r="I147" s="2365"/>
      <c r="J147" s="2365"/>
      <c r="K147" s="2365"/>
      <c r="L147" s="2365"/>
      <c r="M147" s="2365"/>
      <c r="N147" s="2378"/>
      <c r="O147" s="1207"/>
      <c r="P147" s="2299"/>
      <c r="Q147" s="2300"/>
      <c r="R147" s="2300"/>
      <c r="S147" s="2300"/>
      <c r="T147" s="2300"/>
      <c r="U147" s="2300"/>
      <c r="V147" s="2300"/>
      <c r="W147" s="2300"/>
      <c r="X147" s="2300"/>
      <c r="Y147" s="2300"/>
      <c r="Z147" s="2300"/>
      <c r="AA147" s="2300"/>
      <c r="AB147" s="2300"/>
      <c r="AC147" s="2300"/>
      <c r="AD147" s="2300"/>
      <c r="AE147" s="2300"/>
      <c r="AF147" s="2300"/>
      <c r="AG147" s="2300"/>
      <c r="AH147" s="2300"/>
      <c r="AI147" s="2300"/>
      <c r="AJ147" s="2300"/>
      <c r="AK147" s="2300"/>
      <c r="AL147" s="2300"/>
      <c r="AM147" s="2300"/>
      <c r="AN147" s="2300"/>
      <c r="AO147" s="2301"/>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05"/>
      <c r="D148" s="2250"/>
      <c r="E148" s="2250"/>
      <c r="F148" s="2250"/>
      <c r="G148" s="2250"/>
      <c r="H148" s="2250"/>
      <c r="I148" s="2365"/>
      <c r="J148" s="2365"/>
      <c r="K148" s="2365"/>
      <c r="L148" s="2365"/>
      <c r="M148" s="2365"/>
      <c r="N148" s="2378"/>
      <c r="O148" s="1207"/>
      <c r="P148" s="2299"/>
      <c r="Q148" s="2300"/>
      <c r="R148" s="2300"/>
      <c r="S148" s="2300"/>
      <c r="T148" s="2300"/>
      <c r="U148" s="2300"/>
      <c r="V148" s="2300"/>
      <c r="W148" s="2300"/>
      <c r="X148" s="2300"/>
      <c r="Y148" s="2300"/>
      <c r="Z148" s="2300"/>
      <c r="AA148" s="2300"/>
      <c r="AB148" s="2300"/>
      <c r="AC148" s="2300"/>
      <c r="AD148" s="2300"/>
      <c r="AE148" s="2300"/>
      <c r="AF148" s="2300"/>
      <c r="AG148" s="2300"/>
      <c r="AH148" s="2300"/>
      <c r="AI148" s="2300"/>
      <c r="AJ148" s="2300"/>
      <c r="AK148" s="2300"/>
      <c r="AL148" s="2300"/>
      <c r="AM148" s="2300"/>
      <c r="AN148" s="2300"/>
      <c r="AO148" s="2301"/>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87"/>
      <c r="D149" s="2388"/>
      <c r="E149" s="2388"/>
      <c r="F149" s="2388"/>
      <c r="G149" s="2388"/>
      <c r="H149" s="2388"/>
      <c r="I149" s="2389"/>
      <c r="J149" s="2389"/>
      <c r="K149" s="2389"/>
      <c r="L149" s="2389"/>
      <c r="M149" s="2389"/>
      <c r="N149" s="2390"/>
      <c r="O149" s="1207"/>
      <c r="P149" s="2302"/>
      <c r="Q149" s="2303"/>
      <c r="R149" s="2303"/>
      <c r="S149" s="2303"/>
      <c r="T149" s="2303"/>
      <c r="U149" s="2303"/>
      <c r="V149" s="2303"/>
      <c r="W149" s="2303"/>
      <c r="X149" s="2303"/>
      <c r="Y149" s="2303"/>
      <c r="Z149" s="2303"/>
      <c r="AA149" s="2303"/>
      <c r="AB149" s="2303"/>
      <c r="AC149" s="2303"/>
      <c r="AD149" s="2303"/>
      <c r="AE149" s="2303"/>
      <c r="AF149" s="2303"/>
      <c r="AG149" s="2303"/>
      <c r="AH149" s="2303"/>
      <c r="AI149" s="2303"/>
      <c r="AJ149" s="2303"/>
      <c r="AK149" s="2303"/>
      <c r="AL149" s="2303"/>
      <c r="AM149" s="2303"/>
      <c r="AN149" s="2303"/>
      <c r="AO149" s="2304"/>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1" t="s">
        <v>2591</v>
      </c>
      <c r="D151" s="2391"/>
      <c r="E151" s="2391"/>
      <c r="F151" s="2391"/>
      <c r="G151" s="2391"/>
      <c r="H151" s="2391"/>
      <c r="I151" s="2391"/>
      <c r="J151" s="2391"/>
      <c r="K151" s="2391"/>
      <c r="L151" s="2391"/>
      <c r="M151" s="2391"/>
      <c r="N151" s="2391"/>
      <c r="O151" s="2391"/>
      <c r="P151" s="2391"/>
      <c r="Q151" s="2391"/>
      <c r="R151" s="2391"/>
      <c r="S151" s="2391"/>
      <c r="T151" s="2391"/>
      <c r="U151" s="2391"/>
      <c r="V151" s="2391"/>
      <c r="W151" s="2391"/>
      <c r="X151" s="2391"/>
      <c r="Y151" s="2391"/>
      <c r="Z151" s="2391"/>
      <c r="AA151" s="2391"/>
      <c r="AB151" s="2391"/>
      <c r="AC151" s="2391"/>
      <c r="AD151" s="2391"/>
      <c r="AE151" s="2391"/>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1"/>
      <c r="D152" s="2391"/>
      <c r="E152" s="2391"/>
      <c r="F152" s="2391"/>
      <c r="G152" s="2391"/>
      <c r="H152" s="2391"/>
      <c r="I152" s="2391"/>
      <c r="J152" s="2391"/>
      <c r="K152" s="2391"/>
      <c r="L152" s="2391"/>
      <c r="M152" s="2391"/>
      <c r="N152" s="2391"/>
      <c r="O152" s="2391"/>
      <c r="P152" s="2391"/>
      <c r="Q152" s="2391"/>
      <c r="R152" s="2391"/>
      <c r="S152" s="2391"/>
      <c r="T152" s="2391"/>
      <c r="U152" s="2391"/>
      <c r="V152" s="2391"/>
      <c r="W152" s="2391"/>
      <c r="X152" s="2391"/>
      <c r="Y152" s="2391"/>
      <c r="Z152" s="2391"/>
      <c r="AA152" s="2391"/>
      <c r="AB152" s="2391"/>
      <c r="AC152" s="2391"/>
      <c r="AD152" s="2391"/>
      <c r="AE152" s="2391"/>
      <c r="AF152" s="1207"/>
      <c r="AG152" s="1207"/>
      <c r="AH152" s="1227" t="s">
        <v>1920</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95" t="s">
        <v>1908</v>
      </c>
      <c r="D153" s="2296"/>
      <c r="E153" s="2296"/>
      <c r="F153" s="2296"/>
      <c r="G153" s="2296"/>
      <c r="H153" s="2296"/>
      <c r="I153" s="2296"/>
      <c r="J153" s="2296"/>
      <c r="K153" s="2296"/>
      <c r="L153" s="2296"/>
      <c r="M153" s="2296"/>
      <c r="N153" s="2296" t="s">
        <v>1919</v>
      </c>
      <c r="O153" s="2296"/>
      <c r="P153" s="2296"/>
      <c r="Q153" s="2296"/>
      <c r="R153" s="2296"/>
      <c r="S153" s="2296"/>
      <c r="T153" s="2296"/>
      <c r="U153" s="2219" t="s">
        <v>1908</v>
      </c>
      <c r="V153" s="2219"/>
      <c r="W153" s="2219"/>
      <c r="X153" s="2219"/>
      <c r="Y153" s="2219"/>
      <c r="Z153" s="2219"/>
      <c r="AA153" s="2219"/>
      <c r="AB153" s="2219"/>
      <c r="AC153" s="2219"/>
      <c r="AD153" s="2219"/>
      <c r="AE153" s="2220"/>
      <c r="AF153" s="1207"/>
      <c r="AG153" s="1207"/>
      <c r="AH153" s="1233" t="s">
        <v>1921</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80" t="s">
        <v>2592</v>
      </c>
      <c r="D154" s="2381"/>
      <c r="E154" s="2381"/>
      <c r="F154" s="2381"/>
      <c r="G154" s="2381"/>
      <c r="H154" s="2381"/>
      <c r="I154" s="2381"/>
      <c r="J154" s="2381"/>
      <c r="K154" s="2381"/>
      <c r="L154" s="2381"/>
      <c r="M154" s="2381"/>
      <c r="N154" s="2382">
        <f>'Sources and Uses Budget'!B105</f>
        <v>89389242</v>
      </c>
      <c r="O154" s="2382"/>
      <c r="P154" s="2382"/>
      <c r="Q154" s="2382"/>
      <c r="R154" s="2382"/>
      <c r="S154" s="2382"/>
      <c r="T154" s="2382"/>
      <c r="U154" s="2383"/>
      <c r="V154" s="2383"/>
      <c r="W154" s="2383"/>
      <c r="X154" s="2383"/>
      <c r="Y154" s="2383"/>
      <c r="Z154" s="2383"/>
      <c r="AA154" s="2383"/>
      <c r="AB154" s="2383"/>
      <c r="AC154" s="2383"/>
      <c r="AD154" s="2383"/>
      <c r="AE154" s="2384"/>
      <c r="AF154" s="1207"/>
      <c r="AG154" s="1207"/>
      <c r="AH154" s="1233" t="s">
        <v>2593</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80" t="s">
        <v>2594</v>
      </c>
      <c r="D155" s="2381"/>
      <c r="E155" s="2381"/>
      <c r="F155" s="2381"/>
      <c r="G155" s="2381"/>
      <c r="H155" s="2381"/>
      <c r="I155" s="2381"/>
      <c r="J155" s="2381"/>
      <c r="K155" s="2381"/>
      <c r="L155" s="2381"/>
      <c r="M155" s="2381"/>
      <c r="N155" s="2382">
        <f>N154/J29</f>
        <v>392058.07894736843</v>
      </c>
      <c r="O155" s="2382"/>
      <c r="P155" s="2382"/>
      <c r="Q155" s="2382"/>
      <c r="R155" s="2382"/>
      <c r="S155" s="2382"/>
      <c r="T155" s="2382"/>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85" t="s">
        <v>2595</v>
      </c>
      <c r="D156" s="2386"/>
      <c r="E156" s="2386"/>
      <c r="F156" s="2386"/>
      <c r="G156" s="2386"/>
      <c r="H156" s="2386"/>
      <c r="I156" s="2386"/>
      <c r="J156" s="2386"/>
      <c r="K156" s="2386"/>
      <c r="L156" s="2386"/>
      <c r="M156" s="2386"/>
      <c r="N156" s="2289">
        <v>0</v>
      </c>
      <c r="O156" s="2289"/>
      <c r="P156" s="2289"/>
      <c r="Q156" s="2289"/>
      <c r="R156" s="2289"/>
      <c r="S156" s="2289"/>
      <c r="T156" s="2289"/>
      <c r="U156" s="2262"/>
      <c r="V156" s="2262"/>
      <c r="W156" s="2262"/>
      <c r="X156" s="2262"/>
      <c r="Y156" s="2262"/>
      <c r="Z156" s="2262"/>
      <c r="AA156" s="2262"/>
      <c r="AB156" s="2262"/>
      <c r="AC156" s="2262"/>
      <c r="AD156" s="2262"/>
      <c r="AE156" s="2263"/>
      <c r="AF156" s="1207"/>
      <c r="AG156" s="1207"/>
      <c r="AH156" s="2392" t="s">
        <v>2268</v>
      </c>
      <c r="AI156" s="2393"/>
      <c r="AJ156" s="2393"/>
      <c r="AK156" s="2393"/>
      <c r="AL156" s="2393"/>
      <c r="AM156" s="2393"/>
      <c r="AN156" s="2393"/>
      <c r="AO156" s="2393"/>
      <c r="AP156" s="2393"/>
      <c r="AQ156" s="2393"/>
      <c r="AR156" s="2393"/>
      <c r="AS156" s="2394">
        <f>SUM(AS152:AW154)</f>
        <v>0</v>
      </c>
      <c r="AT156" s="2394"/>
      <c r="AU156" s="2394"/>
      <c r="AV156" s="2394"/>
      <c r="AW156" s="2395"/>
      <c r="AX156" s="1207"/>
      <c r="AY156" s="1207"/>
      <c r="AZ156" s="1207"/>
      <c r="BA156" s="1207"/>
      <c r="BB156" s="1207"/>
      <c r="BC156" s="1207"/>
      <c r="BD156" s="1207"/>
      <c r="BE156" s="1213"/>
    </row>
    <row r="157" spans="1:57" ht="15.75" customHeight="1" thickBot="1">
      <c r="A157" s="1207"/>
      <c r="B157" s="1207"/>
      <c r="C157" s="2380" t="s">
        <v>2596</v>
      </c>
      <c r="D157" s="2381"/>
      <c r="E157" s="2381"/>
      <c r="F157" s="2381"/>
      <c r="G157" s="2381"/>
      <c r="H157" s="2381"/>
      <c r="I157" s="2381"/>
      <c r="J157" s="2381"/>
      <c r="K157" s="2381"/>
      <c r="L157" s="2381"/>
      <c r="M157" s="2381"/>
      <c r="N157" s="2396">
        <f>SUM('Sources and Uses Budget'!B85:B86)</f>
        <v>10730343</v>
      </c>
      <c r="O157" s="2396"/>
      <c r="P157" s="2396"/>
      <c r="Q157" s="2396"/>
      <c r="R157" s="2396"/>
      <c r="S157" s="2396"/>
      <c r="T157" s="2396"/>
      <c r="U157" s="2262"/>
      <c r="V157" s="2262"/>
      <c r="W157" s="2262"/>
      <c r="X157" s="2262"/>
      <c r="Y157" s="2262"/>
      <c r="Z157" s="2262"/>
      <c r="AA157" s="2262"/>
      <c r="AB157" s="2262"/>
      <c r="AC157" s="2262"/>
      <c r="AD157" s="2262"/>
      <c r="AE157" s="2263"/>
      <c r="AF157" s="1207"/>
      <c r="AG157" s="1207"/>
      <c r="AH157" s="1247" t="s">
        <v>2597</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80" t="s">
        <v>2598</v>
      </c>
      <c r="D158" s="2381"/>
      <c r="E158" s="2381"/>
      <c r="F158" s="2381"/>
      <c r="G158" s="2381"/>
      <c r="H158" s="2381"/>
      <c r="I158" s="2381"/>
      <c r="J158" s="2381"/>
      <c r="K158" s="2381"/>
      <c r="L158" s="2381"/>
      <c r="M158" s="2381"/>
      <c r="N158" s="2396">
        <f>'Sources and Uses Budget'!B8</f>
        <v>1000000</v>
      </c>
      <c r="O158" s="2396"/>
      <c r="P158" s="2396"/>
      <c r="Q158" s="2396"/>
      <c r="R158" s="2396"/>
      <c r="S158" s="2396"/>
      <c r="T158" s="2396"/>
      <c r="U158" s="2262"/>
      <c r="V158" s="2262"/>
      <c r="W158" s="2262"/>
      <c r="X158" s="2262"/>
      <c r="Y158" s="2262"/>
      <c r="Z158" s="2262"/>
      <c r="AA158" s="2262"/>
      <c r="AB158" s="2262"/>
      <c r="AC158" s="2262"/>
      <c r="AD158" s="2262"/>
      <c r="AE158" s="2263"/>
      <c r="AF158" s="1207"/>
      <c r="AG158" s="1207"/>
      <c r="AH158" s="2397" t="s">
        <v>2599</v>
      </c>
      <c r="AI158" s="2398"/>
      <c r="AJ158" s="2398"/>
      <c r="AK158" s="2398"/>
      <c r="AL158" s="2398"/>
      <c r="AM158" s="2398"/>
      <c r="AN158" s="2398"/>
      <c r="AO158" s="2398"/>
      <c r="AP158" s="2398"/>
      <c r="AQ158" s="2398"/>
      <c r="AR158" s="2399"/>
      <c r="AS158" s="2403" t="s">
        <v>2600</v>
      </c>
      <c r="AT158" s="2404"/>
      <c r="AU158" s="2404"/>
      <c r="AV158" s="2404"/>
      <c r="AW158" s="2404"/>
      <c r="AX158" s="2405"/>
      <c r="AY158" s="2404" t="s">
        <v>2601</v>
      </c>
      <c r="AZ158" s="2404"/>
      <c r="BA158" s="2404"/>
      <c r="BB158" s="2404"/>
      <c r="BC158" s="2404"/>
      <c r="BD158" s="2409"/>
      <c r="BE158" s="1213"/>
    </row>
    <row r="159" spans="1:57" ht="15.75" customHeight="1">
      <c r="A159" s="1207"/>
      <c r="B159" s="1207"/>
      <c r="C159" s="2380" t="s">
        <v>2602</v>
      </c>
      <c r="D159" s="2381"/>
      <c r="E159" s="2381"/>
      <c r="F159" s="2381"/>
      <c r="G159" s="2381"/>
      <c r="H159" s="2381"/>
      <c r="I159" s="2381"/>
      <c r="J159" s="2381"/>
      <c r="K159" s="2381"/>
      <c r="L159" s="2381"/>
      <c r="M159" s="2381"/>
      <c r="N159" s="2411">
        <v>0</v>
      </c>
      <c r="O159" s="2411"/>
      <c r="P159" s="2411"/>
      <c r="Q159" s="2411"/>
      <c r="R159" s="2411"/>
      <c r="S159" s="2411"/>
      <c r="T159" s="2411"/>
      <c r="U159" s="2262"/>
      <c r="V159" s="2262"/>
      <c r="W159" s="2262"/>
      <c r="X159" s="2262"/>
      <c r="Y159" s="2262"/>
      <c r="Z159" s="2262"/>
      <c r="AA159" s="2262"/>
      <c r="AB159" s="2262"/>
      <c r="AC159" s="2262"/>
      <c r="AD159" s="2262"/>
      <c r="AE159" s="2263"/>
      <c r="AF159" s="1207"/>
      <c r="AG159" s="1207"/>
      <c r="AH159" s="2400"/>
      <c r="AI159" s="2401"/>
      <c r="AJ159" s="2401"/>
      <c r="AK159" s="2401"/>
      <c r="AL159" s="2401"/>
      <c r="AM159" s="2401"/>
      <c r="AN159" s="2401"/>
      <c r="AO159" s="2401"/>
      <c r="AP159" s="2401"/>
      <c r="AQ159" s="2401"/>
      <c r="AR159" s="2402"/>
      <c r="AS159" s="2406"/>
      <c r="AT159" s="2407"/>
      <c r="AU159" s="2407"/>
      <c r="AV159" s="2407"/>
      <c r="AW159" s="2407"/>
      <c r="AX159" s="2408"/>
      <c r="AY159" s="2407"/>
      <c r="AZ159" s="2407"/>
      <c r="BA159" s="2407"/>
      <c r="BB159" s="2407"/>
      <c r="BC159" s="2407"/>
      <c r="BD159" s="2410"/>
      <c r="BE159" s="1213"/>
    </row>
    <row r="160" spans="1:57" ht="15.75" customHeight="1">
      <c r="A160" s="1207"/>
      <c r="B160" s="1207"/>
      <c r="C160" s="2380" t="s">
        <v>2603</v>
      </c>
      <c r="D160" s="2381"/>
      <c r="E160" s="2381"/>
      <c r="F160" s="2381"/>
      <c r="G160" s="2381"/>
      <c r="H160" s="2381"/>
      <c r="I160" s="2381"/>
      <c r="J160" s="2381"/>
      <c r="K160" s="2381"/>
      <c r="L160" s="2381"/>
      <c r="M160" s="2381"/>
      <c r="N160" s="2411">
        <v>0</v>
      </c>
      <c r="O160" s="2411"/>
      <c r="P160" s="2411"/>
      <c r="Q160" s="2411"/>
      <c r="R160" s="2411"/>
      <c r="S160" s="2411"/>
      <c r="T160" s="2411"/>
      <c r="U160" s="2262"/>
      <c r="V160" s="2262"/>
      <c r="W160" s="2262"/>
      <c r="X160" s="2262"/>
      <c r="Y160" s="2262"/>
      <c r="Z160" s="2262"/>
      <c r="AA160" s="2262"/>
      <c r="AB160" s="2262"/>
      <c r="AC160" s="2262"/>
      <c r="AD160" s="2262"/>
      <c r="AE160" s="2263"/>
      <c r="AF160" s="1207"/>
      <c r="AG160" s="1207"/>
      <c r="AH160" s="2412" t="s">
        <v>2269</v>
      </c>
      <c r="AI160" s="2413"/>
      <c r="AJ160" s="2413"/>
      <c r="AK160" s="2413"/>
      <c r="AL160" s="2413"/>
      <c r="AM160" s="2413"/>
      <c r="AN160" s="2413"/>
      <c r="AO160" s="2413"/>
      <c r="AP160" s="2413"/>
      <c r="AQ160" s="2413"/>
      <c r="AR160" s="2413"/>
      <c r="AS160" s="2414">
        <v>0</v>
      </c>
      <c r="AT160" s="2414"/>
      <c r="AU160" s="2414"/>
      <c r="AV160" s="2414"/>
      <c r="AW160" s="2414"/>
      <c r="AX160" s="2414"/>
      <c r="AY160" s="2414">
        <v>0</v>
      </c>
      <c r="AZ160" s="2414"/>
      <c r="BA160" s="2414"/>
      <c r="BB160" s="2414"/>
      <c r="BC160" s="2414"/>
      <c r="BD160" s="2415"/>
      <c r="BE160" s="1213"/>
    </row>
    <row r="161" spans="1:57" ht="15.75" customHeight="1">
      <c r="A161" s="1207"/>
      <c r="B161" s="1207"/>
      <c r="C161" s="2417" t="s">
        <v>302</v>
      </c>
      <c r="D161" s="2364"/>
      <c r="E161" s="2416" t="s">
        <v>1914</v>
      </c>
      <c r="F161" s="2416"/>
      <c r="G161" s="2416"/>
      <c r="H161" s="2416"/>
      <c r="I161" s="2416"/>
      <c r="J161" s="2416"/>
      <c r="K161" s="2416"/>
      <c r="L161" s="2416"/>
      <c r="M161" s="2416"/>
      <c r="N161" s="2411">
        <v>0</v>
      </c>
      <c r="O161" s="2411"/>
      <c r="P161" s="2411"/>
      <c r="Q161" s="2411"/>
      <c r="R161" s="2411"/>
      <c r="S161" s="2411"/>
      <c r="T161" s="2411"/>
      <c r="U161" s="2262"/>
      <c r="V161" s="2262"/>
      <c r="W161" s="2262"/>
      <c r="X161" s="2262"/>
      <c r="Y161" s="2262"/>
      <c r="Z161" s="2262"/>
      <c r="AA161" s="2262"/>
      <c r="AB161" s="2262"/>
      <c r="AC161" s="2262"/>
      <c r="AD161" s="2262"/>
      <c r="AE161" s="2263"/>
      <c r="AF161" s="1207"/>
      <c r="AG161" s="1207"/>
      <c r="AH161" s="2412" t="s">
        <v>2270</v>
      </c>
      <c r="AI161" s="2413"/>
      <c r="AJ161" s="2413"/>
      <c r="AK161" s="2413"/>
      <c r="AL161" s="2413"/>
      <c r="AM161" s="2413"/>
      <c r="AN161" s="2413"/>
      <c r="AO161" s="2413"/>
      <c r="AP161" s="2413"/>
      <c r="AQ161" s="2413"/>
      <c r="AR161" s="2413"/>
      <c r="AS161" s="2414">
        <v>0</v>
      </c>
      <c r="AT161" s="2414"/>
      <c r="AU161" s="2414"/>
      <c r="AV161" s="2414"/>
      <c r="AW161" s="2414"/>
      <c r="AX161" s="2414"/>
      <c r="AY161" s="2414">
        <v>0</v>
      </c>
      <c r="AZ161" s="2414"/>
      <c r="BA161" s="2414"/>
      <c r="BB161" s="2414"/>
      <c r="BC161" s="2414"/>
      <c r="BD161" s="2415"/>
      <c r="BE161" s="1213"/>
    </row>
    <row r="162" spans="1:57" ht="15.75" customHeight="1">
      <c r="A162" s="1207"/>
      <c r="B162" s="1207"/>
      <c r="C162" s="2305" t="s">
        <v>302</v>
      </c>
      <c r="D162" s="2250"/>
      <c r="E162" s="2416" t="s">
        <v>1914</v>
      </c>
      <c r="F162" s="2416"/>
      <c r="G162" s="2416"/>
      <c r="H162" s="2416"/>
      <c r="I162" s="2416"/>
      <c r="J162" s="2416"/>
      <c r="K162" s="2416"/>
      <c r="L162" s="2416"/>
      <c r="M162" s="2416"/>
      <c r="N162" s="2411">
        <v>0</v>
      </c>
      <c r="O162" s="2411"/>
      <c r="P162" s="2411"/>
      <c r="Q162" s="2411"/>
      <c r="R162" s="2411"/>
      <c r="S162" s="2411"/>
      <c r="T162" s="2411"/>
      <c r="U162" s="2262"/>
      <c r="V162" s="2262"/>
      <c r="W162" s="2262"/>
      <c r="X162" s="2262"/>
      <c r="Y162" s="2262"/>
      <c r="Z162" s="2262"/>
      <c r="AA162" s="2262"/>
      <c r="AB162" s="2262"/>
      <c r="AC162" s="2262"/>
      <c r="AD162" s="2262"/>
      <c r="AE162" s="2263"/>
      <c r="AF162" s="1207"/>
      <c r="AG162" s="1207"/>
      <c r="AH162" s="2412" t="s">
        <v>2271</v>
      </c>
      <c r="AI162" s="2413"/>
      <c r="AJ162" s="2413"/>
      <c r="AK162" s="2413"/>
      <c r="AL162" s="2413"/>
      <c r="AM162" s="2413"/>
      <c r="AN162" s="2413"/>
      <c r="AO162" s="2413"/>
      <c r="AP162" s="2413"/>
      <c r="AQ162" s="2413"/>
      <c r="AR162" s="2413"/>
      <c r="AS162" s="2414">
        <v>0</v>
      </c>
      <c r="AT162" s="2414"/>
      <c r="AU162" s="2414"/>
      <c r="AV162" s="2414"/>
      <c r="AW162" s="2414"/>
      <c r="AX162" s="2414"/>
      <c r="AY162" s="2414">
        <v>0</v>
      </c>
      <c r="AZ162" s="2414"/>
      <c r="BA162" s="2414"/>
      <c r="BB162" s="2414"/>
      <c r="BC162" s="2414"/>
      <c r="BD162" s="2415"/>
      <c r="BE162" s="1213"/>
    </row>
    <row r="163" spans="1:57" ht="15.75" customHeight="1" thickBot="1">
      <c r="A163" s="1207"/>
      <c r="B163" s="1207"/>
      <c r="C163" s="2422" t="s">
        <v>302</v>
      </c>
      <c r="D163" s="2423"/>
      <c r="E163" s="2424" t="s">
        <v>1914</v>
      </c>
      <c r="F163" s="2424"/>
      <c r="G163" s="2424"/>
      <c r="H163" s="2424"/>
      <c r="I163" s="2424"/>
      <c r="J163" s="2424"/>
      <c r="K163" s="2424"/>
      <c r="L163" s="2424"/>
      <c r="M163" s="2425"/>
      <c r="N163" s="2426">
        <v>0</v>
      </c>
      <c r="O163" s="2426"/>
      <c r="P163" s="2426"/>
      <c r="Q163" s="2426"/>
      <c r="R163" s="2426"/>
      <c r="S163" s="2426"/>
      <c r="T163" s="2427"/>
      <c r="U163" s="2428"/>
      <c r="V163" s="2429"/>
      <c r="W163" s="2429"/>
      <c r="X163" s="2429"/>
      <c r="Y163" s="2429"/>
      <c r="Z163" s="2429"/>
      <c r="AA163" s="2429"/>
      <c r="AB163" s="2429"/>
      <c r="AC163" s="2429"/>
      <c r="AD163" s="2429"/>
      <c r="AE163" s="2430"/>
      <c r="AF163" s="1207"/>
      <c r="AG163" s="1207"/>
      <c r="AH163" s="2412" t="s">
        <v>2272</v>
      </c>
      <c r="AI163" s="2413"/>
      <c r="AJ163" s="2413"/>
      <c r="AK163" s="2413"/>
      <c r="AL163" s="2413"/>
      <c r="AM163" s="2413"/>
      <c r="AN163" s="2413"/>
      <c r="AO163" s="2413"/>
      <c r="AP163" s="2413"/>
      <c r="AQ163" s="2413"/>
      <c r="AR163" s="2413"/>
      <c r="AS163" s="2414">
        <v>0</v>
      </c>
      <c r="AT163" s="2414"/>
      <c r="AU163" s="2414"/>
      <c r="AV163" s="2414"/>
      <c r="AW163" s="2414"/>
      <c r="AX163" s="2414"/>
      <c r="AY163" s="2414">
        <v>0</v>
      </c>
      <c r="AZ163" s="2414"/>
      <c r="BA163" s="2414"/>
      <c r="BB163" s="2414"/>
      <c r="BC163" s="2414"/>
      <c r="BD163" s="2415"/>
      <c r="BE163" s="1213"/>
    </row>
    <row r="164" spans="1:57" ht="15.75" customHeight="1">
      <c r="A164" s="1207"/>
      <c r="B164" s="1207"/>
      <c r="C164" s="2418" t="s">
        <v>1922</v>
      </c>
      <c r="D164" s="2419"/>
      <c r="E164" s="2419"/>
      <c r="F164" s="2419"/>
      <c r="G164" s="2419"/>
      <c r="H164" s="2419"/>
      <c r="I164" s="2419"/>
      <c r="J164" s="2419"/>
      <c r="K164" s="2419"/>
      <c r="L164" s="2419"/>
      <c r="M164" s="2419"/>
      <c r="N164" s="2420">
        <f>SUM(N156:T163)</f>
        <v>11730343</v>
      </c>
      <c r="O164" s="2420"/>
      <c r="P164" s="2420"/>
      <c r="Q164" s="2420"/>
      <c r="R164" s="2420"/>
      <c r="S164" s="2420"/>
      <c r="T164" s="2421"/>
      <c r="U164" s="1207"/>
      <c r="V164" s="1207"/>
      <c r="W164" s="1207"/>
      <c r="X164" s="1207"/>
      <c r="Y164" s="1207"/>
      <c r="Z164" s="1207"/>
      <c r="AA164" s="1207"/>
      <c r="AB164" s="1207"/>
      <c r="AC164" s="1207"/>
      <c r="AD164" s="1207"/>
      <c r="AE164" s="1207"/>
      <c r="AF164" s="1207"/>
      <c r="AG164" s="1207"/>
      <c r="AH164" s="2412" t="s">
        <v>2273</v>
      </c>
      <c r="AI164" s="2413"/>
      <c r="AJ164" s="2413"/>
      <c r="AK164" s="2413"/>
      <c r="AL164" s="2413"/>
      <c r="AM164" s="2413"/>
      <c r="AN164" s="2413"/>
      <c r="AO164" s="2413"/>
      <c r="AP164" s="2413"/>
      <c r="AQ164" s="2413"/>
      <c r="AR164" s="2413"/>
      <c r="AS164" s="2414">
        <v>0</v>
      </c>
      <c r="AT164" s="2414"/>
      <c r="AU164" s="2414"/>
      <c r="AV164" s="2414"/>
      <c r="AW164" s="2414"/>
      <c r="AX164" s="2414"/>
      <c r="AY164" s="2414">
        <v>0</v>
      </c>
      <c r="AZ164" s="2414"/>
      <c r="BA164" s="2414"/>
      <c r="BB164" s="2414"/>
      <c r="BC164" s="2414"/>
      <c r="BD164" s="2415"/>
      <c r="BE164" s="1213"/>
    </row>
    <row r="165" spans="1:57" ht="15.75" customHeight="1" thickBot="1">
      <c r="A165" s="1207"/>
      <c r="B165" s="1207"/>
      <c r="C165" s="2444" t="s">
        <v>2604</v>
      </c>
      <c r="D165" s="2445"/>
      <c r="E165" s="2445"/>
      <c r="F165" s="2445"/>
      <c r="G165" s="2445"/>
      <c r="H165" s="2445"/>
      <c r="I165" s="2445"/>
      <c r="J165" s="2445"/>
      <c r="K165" s="2445"/>
      <c r="L165" s="2445"/>
      <c r="M165" s="2445"/>
      <c r="N165" s="2446">
        <f>(N154-N164)/J29</f>
        <v>340609.2061403509</v>
      </c>
      <c r="O165" s="2447"/>
      <c r="P165" s="2447"/>
      <c r="Q165" s="2447"/>
      <c r="R165" s="2447"/>
      <c r="S165" s="2447"/>
      <c r="T165" s="2448"/>
      <c r="U165" s="1214"/>
      <c r="V165" s="1207"/>
      <c r="W165" s="1207"/>
      <c r="X165" s="1207"/>
      <c r="Y165" s="1207"/>
      <c r="Z165" s="1207"/>
      <c r="AA165" s="1207"/>
      <c r="AB165" s="1207"/>
      <c r="AC165" s="1207"/>
      <c r="AD165" s="1207"/>
      <c r="AE165" s="1207"/>
      <c r="AF165" s="1207"/>
      <c r="AG165" s="1207"/>
      <c r="AH165" s="2412" t="s">
        <v>2274</v>
      </c>
      <c r="AI165" s="2413"/>
      <c r="AJ165" s="2413"/>
      <c r="AK165" s="2413"/>
      <c r="AL165" s="2413"/>
      <c r="AM165" s="2413"/>
      <c r="AN165" s="2413"/>
      <c r="AO165" s="2413"/>
      <c r="AP165" s="2413"/>
      <c r="AQ165" s="2413"/>
      <c r="AR165" s="2413"/>
      <c r="AS165" s="2414">
        <v>0</v>
      </c>
      <c r="AT165" s="2414"/>
      <c r="AU165" s="2414"/>
      <c r="AV165" s="2414"/>
      <c r="AW165" s="2414"/>
      <c r="AX165" s="2414"/>
      <c r="AY165" s="2414">
        <v>0</v>
      </c>
      <c r="AZ165" s="2414"/>
      <c r="BA165" s="2414"/>
      <c r="BB165" s="2414"/>
      <c r="BC165" s="2414"/>
      <c r="BD165" s="2415"/>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49" t="s">
        <v>125</v>
      </c>
      <c r="AI166" s="2450"/>
      <c r="AJ166" s="2450"/>
      <c r="AK166" s="2450"/>
      <c r="AL166" s="2450"/>
      <c r="AM166" s="2450"/>
      <c r="AN166" s="2450"/>
      <c r="AO166" s="2450"/>
      <c r="AP166" s="2450"/>
      <c r="AQ166" s="2450"/>
      <c r="AR166" s="2450"/>
      <c r="AS166" s="2451">
        <f>SUM(AS160:AX165)</f>
        <v>0</v>
      </c>
      <c r="AT166" s="2451"/>
      <c r="AU166" s="2451"/>
      <c r="AV166" s="2451"/>
      <c r="AW166" s="2451"/>
      <c r="AX166" s="2451"/>
      <c r="AY166" s="2451">
        <f>SUM(AY160:BD165)</f>
        <v>0</v>
      </c>
      <c r="AZ166" s="2451"/>
      <c r="BA166" s="2451"/>
      <c r="BB166" s="2451"/>
      <c r="BC166" s="2451"/>
      <c r="BD166" s="2452"/>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1" t="s">
        <v>1923</v>
      </c>
      <c r="C168" s="2432"/>
      <c r="D168" s="2432"/>
      <c r="E168" s="2432"/>
      <c r="F168" s="2432"/>
      <c r="G168" s="2432"/>
      <c r="H168" s="2432"/>
      <c r="I168" s="2432"/>
      <c r="J168" s="2432"/>
      <c r="K168" s="2432"/>
      <c r="L168" s="2432"/>
      <c r="M168" s="2432"/>
      <c r="N168" s="2432"/>
      <c r="O168" s="2432"/>
      <c r="P168" s="2432"/>
      <c r="Q168" s="2432"/>
      <c r="R168" s="2432"/>
      <c r="S168" s="2432"/>
      <c r="T168" s="2432"/>
      <c r="U168" s="2432"/>
      <c r="V168" s="2432"/>
      <c r="W168" s="2432"/>
      <c r="X168" s="2432"/>
      <c r="Y168" s="2432"/>
      <c r="Z168" s="2432"/>
      <c r="AA168" s="2432"/>
      <c r="AB168" s="2432"/>
      <c r="AC168" s="2432"/>
      <c r="AD168" s="2432"/>
      <c r="AE168" s="2432"/>
      <c r="AF168" s="2432"/>
      <c r="AG168" s="2432"/>
      <c r="AH168" s="2432"/>
      <c r="AI168" s="2432"/>
      <c r="AJ168" s="2432"/>
      <c r="AK168" s="2432"/>
      <c r="AL168" s="2432"/>
      <c r="AM168" s="2432"/>
      <c r="AN168" s="2432"/>
      <c r="AO168" s="2432"/>
      <c r="AP168" s="2432"/>
      <c r="AQ168" s="2432"/>
      <c r="AR168" s="2432"/>
      <c r="AS168" s="2432"/>
      <c r="AT168" s="2432"/>
      <c r="AU168" s="2432"/>
      <c r="AV168" s="2432"/>
      <c r="AW168" s="2432"/>
      <c r="AX168" s="2432"/>
      <c r="AY168" s="2432"/>
      <c r="AZ168" s="2432"/>
      <c r="BA168" s="2432"/>
      <c r="BB168" s="2432"/>
      <c r="BC168" s="2432"/>
      <c r="BD168" s="2433"/>
      <c r="BE168" s="1213"/>
    </row>
    <row r="169" spans="1:57" ht="15.75" customHeight="1">
      <c r="A169" s="1207"/>
      <c r="B169" s="2434"/>
      <c r="C169" s="2435"/>
      <c r="D169" s="2435"/>
      <c r="E169" s="2435"/>
      <c r="F169" s="2435"/>
      <c r="G169" s="2435"/>
      <c r="H169" s="2435"/>
      <c r="I169" s="2435"/>
      <c r="J169" s="2435"/>
      <c r="K169" s="2435"/>
      <c r="L169" s="2435"/>
      <c r="M169" s="2435"/>
      <c r="N169" s="2435"/>
      <c r="O169" s="2435"/>
      <c r="P169" s="2435"/>
      <c r="Q169" s="2435"/>
      <c r="R169" s="2435"/>
      <c r="S169" s="2435"/>
      <c r="T169" s="2435"/>
      <c r="U169" s="2435"/>
      <c r="V169" s="2435"/>
      <c r="W169" s="2435"/>
      <c r="X169" s="2435"/>
      <c r="Y169" s="2435"/>
      <c r="Z169" s="2435"/>
      <c r="AA169" s="2435"/>
      <c r="AB169" s="2435"/>
      <c r="AC169" s="2435"/>
      <c r="AD169" s="2435"/>
      <c r="AE169" s="2435"/>
      <c r="AF169" s="2435"/>
      <c r="AG169" s="2435"/>
      <c r="AH169" s="2435"/>
      <c r="AI169" s="2435"/>
      <c r="AJ169" s="2435"/>
      <c r="AK169" s="2435"/>
      <c r="AL169" s="2435"/>
      <c r="AM169" s="2435"/>
      <c r="AN169" s="2435"/>
      <c r="AO169" s="2435"/>
      <c r="AP169" s="2435"/>
      <c r="AQ169" s="2435"/>
      <c r="AR169" s="2435"/>
      <c r="AS169" s="2435"/>
      <c r="AT169" s="2435"/>
      <c r="AU169" s="2435"/>
      <c r="AV169" s="2435"/>
      <c r="AW169" s="2435"/>
      <c r="AX169" s="2435"/>
      <c r="AY169" s="2435"/>
      <c r="AZ169" s="2435"/>
      <c r="BA169" s="2435"/>
      <c r="BB169" s="2435"/>
      <c r="BC169" s="2435"/>
      <c r="BD169" s="2436"/>
      <c r="BE169" s="1213"/>
    </row>
    <row r="170" spans="1:57" ht="15.75" customHeight="1">
      <c r="A170" s="1207"/>
      <c r="B170" s="2437" t="s">
        <v>1924</v>
      </c>
      <c r="C170" s="2438"/>
      <c r="D170" s="2438"/>
      <c r="E170" s="2438"/>
      <c r="F170" s="2438"/>
      <c r="G170" s="2438"/>
      <c r="H170" s="2438"/>
      <c r="I170" s="2438"/>
      <c r="J170" s="2438"/>
      <c r="K170" s="2438"/>
      <c r="L170" s="2438"/>
      <c r="M170" s="2438"/>
      <c r="N170" s="2438"/>
      <c r="O170" s="2438"/>
      <c r="P170" s="2438"/>
      <c r="Q170" s="2438"/>
      <c r="R170" s="2438"/>
      <c r="S170" s="2438"/>
      <c r="T170" s="2438"/>
      <c r="U170" s="2438"/>
      <c r="V170" s="2438"/>
      <c r="W170" s="2438"/>
      <c r="X170" s="2438"/>
      <c r="Y170" s="2438"/>
      <c r="Z170" s="2438"/>
      <c r="AA170" s="2438"/>
      <c r="AB170" s="2438"/>
      <c r="AC170" s="2438"/>
      <c r="AD170" s="2438"/>
      <c r="AE170" s="2438"/>
      <c r="AF170" s="2438"/>
      <c r="AG170" s="2438"/>
      <c r="AH170" s="2438"/>
      <c r="AI170" s="2438"/>
      <c r="AJ170" s="2438"/>
      <c r="AK170" s="2438"/>
      <c r="AL170" s="2438"/>
      <c r="AM170" s="2438"/>
      <c r="AN170" s="2438"/>
      <c r="AO170" s="2438"/>
      <c r="AP170" s="2438"/>
      <c r="AQ170" s="2438"/>
      <c r="AR170" s="2438"/>
      <c r="AS170" s="2438"/>
      <c r="AT170" s="2438"/>
      <c r="AU170" s="2438"/>
      <c r="AV170" s="2438"/>
      <c r="AW170" s="2438"/>
      <c r="AX170" s="2438"/>
      <c r="AY170" s="2438"/>
      <c r="AZ170" s="2438"/>
      <c r="BA170" s="2438"/>
      <c r="BB170" s="2438"/>
      <c r="BC170" s="2438"/>
      <c r="BD170" s="2439"/>
      <c r="BE170" s="1213"/>
    </row>
    <row r="171" spans="1:57" ht="15.75" customHeight="1">
      <c r="A171" s="1207"/>
      <c r="B171" s="2437" t="s">
        <v>1925</v>
      </c>
      <c r="C171" s="2438"/>
      <c r="D171" s="2438"/>
      <c r="E171" s="2438"/>
      <c r="F171" s="2438"/>
      <c r="G171" s="2438"/>
      <c r="H171" s="2438"/>
      <c r="I171" s="2438"/>
      <c r="J171" s="2438"/>
      <c r="K171" s="2438"/>
      <c r="L171" s="2438"/>
      <c r="M171" s="2438"/>
      <c r="N171" s="2438"/>
      <c r="O171" s="2438"/>
      <c r="P171" s="2438"/>
      <c r="Q171" s="2438"/>
      <c r="R171" s="2438"/>
      <c r="S171" s="2438"/>
      <c r="T171" s="2438"/>
      <c r="U171" s="2438"/>
      <c r="V171" s="2438"/>
      <c r="W171" s="2438"/>
      <c r="X171" s="2438"/>
      <c r="Y171" s="2438"/>
      <c r="Z171" s="2438"/>
      <c r="AA171" s="2438"/>
      <c r="AB171" s="2438"/>
      <c r="AC171" s="2438"/>
      <c r="AD171" s="2438"/>
      <c r="AE171" s="2438"/>
      <c r="AF171" s="2438"/>
      <c r="AG171" s="2438"/>
      <c r="AH171" s="2438"/>
      <c r="AI171" s="2438"/>
      <c r="AJ171" s="2438"/>
      <c r="AK171" s="2438"/>
      <c r="AL171" s="2438"/>
      <c r="AM171" s="2438"/>
      <c r="AN171" s="2438"/>
      <c r="AO171" s="2438"/>
      <c r="AP171" s="2438"/>
      <c r="AQ171" s="2438"/>
      <c r="AR171" s="2438"/>
      <c r="AS171" s="2438"/>
      <c r="AT171" s="2438"/>
      <c r="AU171" s="2438"/>
      <c r="AV171" s="2438"/>
      <c r="AW171" s="2438"/>
      <c r="AX171" s="2438"/>
      <c r="AY171" s="2438"/>
      <c r="AZ171" s="2438"/>
      <c r="BA171" s="2438"/>
      <c r="BB171" s="2438"/>
      <c r="BC171" s="2438"/>
      <c r="BD171" s="2439"/>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40" t="s">
        <v>1926</v>
      </c>
      <c r="C173" s="2441"/>
      <c r="D173" s="2441"/>
      <c r="E173" s="2441"/>
      <c r="F173" s="2441"/>
      <c r="G173" s="2441"/>
      <c r="H173" s="2441"/>
      <c r="I173" s="2441"/>
      <c r="J173" s="2441"/>
      <c r="K173" s="2441"/>
      <c r="L173" s="2441"/>
      <c r="M173" s="2441"/>
      <c r="N173" s="2441"/>
      <c r="O173" s="2441"/>
      <c r="P173" s="2441"/>
      <c r="Q173" s="2441"/>
      <c r="R173" s="2441"/>
      <c r="S173" s="2441"/>
      <c r="T173" s="2441"/>
      <c r="U173" s="2441"/>
      <c r="V173" s="2441"/>
      <c r="W173" s="2441"/>
      <c r="X173" s="2441"/>
      <c r="Y173" s="2441"/>
      <c r="Z173" s="2441"/>
      <c r="AA173" s="2441"/>
      <c r="AB173" s="2441"/>
      <c r="AC173" s="2441"/>
      <c r="AD173" s="2441"/>
      <c r="AE173" s="2441"/>
      <c r="AF173" s="2441"/>
      <c r="AG173" s="2441"/>
      <c r="AH173" s="2441"/>
      <c r="AI173" s="2441"/>
      <c r="AJ173" s="2441"/>
      <c r="AK173" s="2441"/>
      <c r="AL173" s="2441"/>
      <c r="AM173" s="2441"/>
      <c r="AN173" s="2441"/>
      <c r="AO173" s="2441"/>
      <c r="AP173" s="2441"/>
      <c r="AQ173" s="2441"/>
      <c r="AR173" s="2441"/>
      <c r="AS173" s="2441"/>
      <c r="AT173" s="2441"/>
      <c r="AU173" s="2441"/>
      <c r="AV173" s="2441"/>
      <c r="AW173" s="2441"/>
      <c r="AX173" s="2441"/>
      <c r="AY173" s="2441"/>
      <c r="AZ173" s="2441"/>
      <c r="BA173" s="2441"/>
      <c r="BB173" s="2441"/>
      <c r="BC173" s="2441"/>
      <c r="BD173" s="2442"/>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1927</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43" t="s">
        <v>1928</v>
      </c>
      <c r="I177" s="2443"/>
      <c r="J177" s="2443"/>
      <c r="K177" s="2443"/>
      <c r="L177" s="2443"/>
      <c r="M177" s="2443"/>
      <c r="N177" s="2443"/>
      <c r="O177" s="2443"/>
      <c r="P177" s="2443"/>
      <c r="Q177" s="2443"/>
      <c r="R177" s="2443"/>
      <c r="S177" s="2443"/>
      <c r="T177" s="2443"/>
      <c r="U177" s="2443"/>
      <c r="V177" s="2443"/>
      <c r="W177" s="2443"/>
      <c r="X177" s="2443"/>
      <c r="Y177" s="2443"/>
      <c r="Z177" s="2443"/>
      <c r="AA177" s="2443"/>
      <c r="AB177" s="2443"/>
      <c r="AC177" s="2443"/>
      <c r="AD177" s="2443"/>
      <c r="AE177" s="2443"/>
      <c r="AF177" s="2443"/>
      <c r="AG177" s="2443"/>
      <c r="AH177" s="2443"/>
      <c r="AI177" s="2443"/>
      <c r="AJ177" s="2443"/>
      <c r="AK177" s="2443"/>
      <c r="AL177" s="2443"/>
      <c r="AM177" s="2443"/>
      <c r="AN177" s="2443"/>
      <c r="AO177" s="2443"/>
      <c r="AP177" s="2443"/>
      <c r="AQ177" s="2443"/>
      <c r="AR177" s="2443"/>
      <c r="AS177" s="2443"/>
      <c r="AT177" s="2443"/>
      <c r="AU177" s="2443"/>
      <c r="AV177" s="2443"/>
      <c r="AW177" s="2443"/>
      <c r="AX177" s="2443"/>
      <c r="AY177" s="2443"/>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62" t="s">
        <v>2605</v>
      </c>
      <c r="I179" s="2462"/>
      <c r="J179" s="2462"/>
      <c r="K179" s="2462"/>
      <c r="L179" s="2462"/>
      <c r="M179" s="2462"/>
      <c r="N179" s="2462"/>
      <c r="O179" s="2462"/>
      <c r="P179" s="2462"/>
      <c r="Q179" s="2462"/>
      <c r="R179" s="2462"/>
      <c r="S179" s="2462"/>
      <c r="T179" s="2462"/>
      <c r="U179" s="2462"/>
      <c r="V179" s="2462"/>
      <c r="W179" s="2462"/>
      <c r="X179" s="2462"/>
      <c r="Y179" s="2462"/>
      <c r="Z179" s="2462"/>
      <c r="AA179" s="2462"/>
      <c r="AB179" s="2462"/>
      <c r="AC179" s="2462"/>
      <c r="AD179" s="2462"/>
      <c r="AE179" s="2462"/>
      <c r="AF179" s="2462"/>
      <c r="AG179" s="2462"/>
      <c r="AH179" s="2462"/>
      <c r="AI179" s="2462"/>
      <c r="AJ179" s="2462"/>
      <c r="AK179" s="2462"/>
      <c r="AL179" s="2462"/>
      <c r="AM179" s="2462"/>
      <c r="AN179" s="2462"/>
      <c r="AO179" s="2462"/>
      <c r="AP179" s="2462"/>
      <c r="AQ179" s="2462"/>
      <c r="AR179" s="2462"/>
      <c r="AS179" s="2462"/>
      <c r="AT179" s="2462"/>
      <c r="AU179" s="2462"/>
      <c r="AV179" s="2462"/>
      <c r="AW179" s="2462"/>
      <c r="AX179" s="2462"/>
      <c r="AY179" s="2462"/>
      <c r="AZ179" s="2462"/>
      <c r="BA179" s="1207"/>
      <c r="BB179" s="1207"/>
      <c r="BC179" s="1207"/>
      <c r="BD179" s="1213"/>
      <c r="BE179" s="1213"/>
    </row>
    <row r="180" spans="1:57" ht="15.75" customHeight="1">
      <c r="A180" s="1207"/>
      <c r="B180" s="1206"/>
      <c r="C180" s="1207"/>
      <c r="D180" s="1207"/>
      <c r="E180" s="1207"/>
      <c r="F180" s="1207"/>
      <c r="G180" s="1207"/>
      <c r="H180" s="2462"/>
      <c r="I180" s="2462"/>
      <c r="J180" s="2462"/>
      <c r="K180" s="2462"/>
      <c r="L180" s="2462"/>
      <c r="M180" s="2462"/>
      <c r="N180" s="2462"/>
      <c r="O180" s="2462"/>
      <c r="P180" s="2462"/>
      <c r="Q180" s="2462"/>
      <c r="R180" s="2462"/>
      <c r="S180" s="2462"/>
      <c r="T180" s="2462"/>
      <c r="U180" s="2462"/>
      <c r="V180" s="2462"/>
      <c r="W180" s="2462"/>
      <c r="X180" s="2462"/>
      <c r="Y180" s="2462"/>
      <c r="Z180" s="2462"/>
      <c r="AA180" s="2462"/>
      <c r="AB180" s="2462"/>
      <c r="AC180" s="2462"/>
      <c r="AD180" s="2462"/>
      <c r="AE180" s="2462"/>
      <c r="AF180" s="2462"/>
      <c r="AG180" s="2462"/>
      <c r="AH180" s="2462"/>
      <c r="AI180" s="2462"/>
      <c r="AJ180" s="2462"/>
      <c r="AK180" s="2462"/>
      <c r="AL180" s="2462"/>
      <c r="AM180" s="2462"/>
      <c r="AN180" s="2462"/>
      <c r="AO180" s="2462"/>
      <c r="AP180" s="2462"/>
      <c r="AQ180" s="2462"/>
      <c r="AR180" s="2462"/>
      <c r="AS180" s="2462"/>
      <c r="AT180" s="2462"/>
      <c r="AU180" s="2462"/>
      <c r="AV180" s="2462"/>
      <c r="AW180" s="2462"/>
      <c r="AX180" s="2462"/>
      <c r="AY180" s="2462"/>
      <c r="AZ180" s="2462"/>
      <c r="BA180" s="1207"/>
      <c r="BB180" s="1207"/>
      <c r="BC180" s="1207"/>
      <c r="BD180" s="1213"/>
      <c r="BE180" s="1213"/>
    </row>
    <row r="181" spans="1:57" ht="15.75" customHeight="1">
      <c r="A181" s="1207"/>
      <c r="B181" s="1206"/>
      <c r="C181" s="1207"/>
      <c r="D181" s="1207"/>
      <c r="E181" s="1207"/>
      <c r="F181" s="1207"/>
      <c r="G181" s="1207"/>
      <c r="H181" s="2462"/>
      <c r="I181" s="2462"/>
      <c r="J181" s="2462"/>
      <c r="K181" s="2462"/>
      <c r="L181" s="2462"/>
      <c r="M181" s="2462"/>
      <c r="N181" s="2462"/>
      <c r="O181" s="2462"/>
      <c r="P181" s="2462"/>
      <c r="Q181" s="2462"/>
      <c r="R181" s="2462"/>
      <c r="S181" s="2462"/>
      <c r="T181" s="2462"/>
      <c r="U181" s="2462"/>
      <c r="V181" s="2462"/>
      <c r="W181" s="2462"/>
      <c r="X181" s="2462"/>
      <c r="Y181" s="2462"/>
      <c r="Z181" s="2462"/>
      <c r="AA181" s="2462"/>
      <c r="AB181" s="2462"/>
      <c r="AC181" s="2462"/>
      <c r="AD181" s="2462"/>
      <c r="AE181" s="2462"/>
      <c r="AF181" s="2462"/>
      <c r="AG181" s="2462"/>
      <c r="AH181" s="2462"/>
      <c r="AI181" s="2462"/>
      <c r="AJ181" s="2462"/>
      <c r="AK181" s="2462"/>
      <c r="AL181" s="2462"/>
      <c r="AM181" s="2462"/>
      <c r="AN181" s="2462"/>
      <c r="AO181" s="2462"/>
      <c r="AP181" s="2462"/>
      <c r="AQ181" s="2462"/>
      <c r="AR181" s="2462"/>
      <c r="AS181" s="2462"/>
      <c r="AT181" s="2462"/>
      <c r="AU181" s="2462"/>
      <c r="AV181" s="2462"/>
      <c r="AW181" s="2462"/>
      <c r="AX181" s="2462"/>
      <c r="AY181" s="2462"/>
      <c r="AZ181" s="2462"/>
      <c r="BA181" s="1207"/>
      <c r="BB181" s="1207"/>
      <c r="BC181" s="1207"/>
      <c r="BD181" s="1213"/>
      <c r="BE181" s="1213"/>
    </row>
    <row r="182" spans="1:57" ht="15.75" customHeight="1">
      <c r="A182" s="1207"/>
      <c r="B182" s="1206"/>
      <c r="C182" s="1207"/>
      <c r="D182" s="1207"/>
      <c r="E182" s="1207"/>
      <c r="F182" s="1207"/>
      <c r="G182" s="1207"/>
      <c r="H182" s="2462"/>
      <c r="I182" s="2462"/>
      <c r="J182" s="2462"/>
      <c r="K182" s="2462"/>
      <c r="L182" s="2462"/>
      <c r="M182" s="2462"/>
      <c r="N182" s="2462"/>
      <c r="O182" s="2462"/>
      <c r="P182" s="2462"/>
      <c r="Q182" s="2462"/>
      <c r="R182" s="2462"/>
      <c r="S182" s="2462"/>
      <c r="T182" s="2462"/>
      <c r="U182" s="2462"/>
      <c r="V182" s="2462"/>
      <c r="W182" s="2462"/>
      <c r="X182" s="2462"/>
      <c r="Y182" s="2462"/>
      <c r="Z182" s="2462"/>
      <c r="AA182" s="2462"/>
      <c r="AB182" s="2462"/>
      <c r="AC182" s="2462"/>
      <c r="AD182" s="2462"/>
      <c r="AE182" s="2462"/>
      <c r="AF182" s="2462"/>
      <c r="AG182" s="2462"/>
      <c r="AH182" s="2462"/>
      <c r="AI182" s="2462"/>
      <c r="AJ182" s="2462"/>
      <c r="AK182" s="2462"/>
      <c r="AL182" s="2462"/>
      <c r="AM182" s="2462"/>
      <c r="AN182" s="2462"/>
      <c r="AO182" s="2462"/>
      <c r="AP182" s="2462"/>
      <c r="AQ182" s="2462"/>
      <c r="AR182" s="2462"/>
      <c r="AS182" s="2462"/>
      <c r="AT182" s="2462"/>
      <c r="AU182" s="2462"/>
      <c r="AV182" s="2462"/>
      <c r="AW182" s="2462"/>
      <c r="AX182" s="2462"/>
      <c r="AY182" s="2462"/>
      <c r="AZ182" s="2462"/>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63" t="s">
        <v>1929</v>
      </c>
      <c r="I184" s="2463"/>
      <c r="J184" s="2463"/>
      <c r="K184" s="2463"/>
      <c r="L184" s="2463"/>
      <c r="M184" s="2463"/>
      <c r="N184" s="2463"/>
      <c r="O184" s="2463"/>
      <c r="P184" s="2463"/>
      <c r="Q184" s="2463"/>
      <c r="R184" s="2463"/>
      <c r="S184" s="2463"/>
      <c r="T184" s="2463"/>
      <c r="U184" s="2463"/>
      <c r="V184" s="2463"/>
      <c r="W184" s="2463"/>
      <c r="X184" s="2463"/>
      <c r="Y184" s="2463"/>
      <c r="Z184" s="2463"/>
      <c r="AA184" s="2463"/>
      <c r="AB184" s="2463"/>
      <c r="AC184" s="2463"/>
      <c r="AD184" s="2463"/>
      <c r="AE184" s="2463"/>
      <c r="AF184" s="2463"/>
      <c r="AG184" s="2463"/>
      <c r="AH184" s="2463"/>
      <c r="AI184" s="2463"/>
      <c r="AJ184" s="2463"/>
      <c r="AK184" s="2463"/>
      <c r="AL184" s="2463"/>
      <c r="AM184" s="2463"/>
      <c r="AN184" s="2463"/>
      <c r="AO184" s="2463"/>
      <c r="AP184" s="2463"/>
      <c r="AQ184" s="2463"/>
      <c r="AR184" s="2463"/>
      <c r="AS184" s="2463"/>
      <c r="AT184" s="2463"/>
      <c r="AU184" s="2463"/>
      <c r="AV184" s="2463"/>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53" t="s">
        <v>1930</v>
      </c>
      <c r="I186" s="2453"/>
      <c r="J186" s="2453"/>
      <c r="K186" s="2453"/>
      <c r="L186" s="1222"/>
      <c r="M186" s="1222"/>
      <c r="N186" s="1222"/>
      <c r="O186" s="1222"/>
      <c r="P186" s="1222"/>
      <c r="Q186" s="1222"/>
      <c r="R186" s="1222"/>
      <c r="S186" s="2464"/>
      <c r="T186" s="2460"/>
      <c r="U186" s="2460"/>
      <c r="V186" s="2460"/>
      <c r="W186" s="2460"/>
      <c r="X186" s="2460"/>
      <c r="Y186" s="2460"/>
      <c r="Z186" s="2460"/>
      <c r="AA186" s="2460"/>
      <c r="AB186" s="2460"/>
      <c r="AC186" s="2460"/>
      <c r="AD186" s="2460"/>
      <c r="AE186" s="2460"/>
      <c r="AF186" s="2460"/>
      <c r="AG186" s="2460"/>
      <c r="AH186" s="2460"/>
      <c r="AI186" s="2460"/>
      <c r="AJ186" s="2461"/>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53" t="s">
        <v>1931</v>
      </c>
      <c r="I188" s="2453"/>
      <c r="J188" s="2453"/>
      <c r="K188" s="1255"/>
      <c r="L188" s="1222"/>
      <c r="M188" s="1222"/>
      <c r="N188" s="1222"/>
      <c r="O188" s="1222"/>
      <c r="P188" s="1222"/>
      <c r="Q188" s="1222"/>
      <c r="R188" s="1222"/>
      <c r="S188" s="2454"/>
      <c r="T188" s="2455"/>
      <c r="U188" s="2455"/>
      <c r="V188" s="2455"/>
      <c r="W188" s="2455"/>
      <c r="X188" s="2455"/>
      <c r="Y188" s="2455"/>
      <c r="Z188" s="2455"/>
      <c r="AA188" s="2455"/>
      <c r="AB188" s="2455"/>
      <c r="AC188" s="2455"/>
      <c r="AD188" s="2455"/>
      <c r="AE188" s="2455"/>
      <c r="AF188" s="2455"/>
      <c r="AG188" s="2455"/>
      <c r="AH188" s="2455"/>
      <c r="AI188" s="2455"/>
      <c r="AJ188" s="2456"/>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53" t="s">
        <v>445</v>
      </c>
      <c r="I190" s="2453"/>
      <c r="J190" s="1255"/>
      <c r="K190" s="1255"/>
      <c r="L190" s="1222"/>
      <c r="M190" s="1222"/>
      <c r="N190" s="1222"/>
      <c r="O190" s="1222"/>
      <c r="P190" s="1222"/>
      <c r="Q190" s="1222"/>
      <c r="R190" s="1222"/>
      <c r="S190" s="2454"/>
      <c r="T190" s="2455"/>
      <c r="U190" s="2455"/>
      <c r="V190" s="2455"/>
      <c r="W190" s="2455"/>
      <c r="X190" s="2455"/>
      <c r="Y190" s="2455"/>
      <c r="Z190" s="2455"/>
      <c r="AA190" s="2455"/>
      <c r="AB190" s="2455"/>
      <c r="AC190" s="2455"/>
      <c r="AD190" s="2455"/>
      <c r="AE190" s="2455"/>
      <c r="AF190" s="2455"/>
      <c r="AG190" s="2455"/>
      <c r="AH190" s="2455"/>
      <c r="AI190" s="2455"/>
      <c r="AJ190" s="2456"/>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57" t="s">
        <v>1932</v>
      </c>
      <c r="I192" s="2457"/>
      <c r="J192" s="2457"/>
      <c r="K192" s="2457"/>
      <c r="L192" s="2457"/>
      <c r="M192" s="2457"/>
      <c r="N192" s="2457"/>
      <c r="O192" s="2457"/>
      <c r="P192" s="1222"/>
      <c r="Q192" s="1222"/>
      <c r="R192" s="1222"/>
      <c r="S192" s="2454"/>
      <c r="T192" s="2455"/>
      <c r="U192" s="2455"/>
      <c r="V192" s="2455"/>
      <c r="W192" s="2455"/>
      <c r="X192" s="2455"/>
      <c r="Y192" s="2455"/>
      <c r="Z192" s="2455"/>
      <c r="AA192" s="2455"/>
      <c r="AB192" s="2455"/>
      <c r="AC192" s="2455"/>
      <c r="AD192" s="2455"/>
      <c r="AE192" s="2455"/>
      <c r="AF192" s="2455"/>
      <c r="AG192" s="2455"/>
      <c r="AH192" s="2455"/>
      <c r="AI192" s="2455"/>
      <c r="AJ192" s="2456"/>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58" t="s">
        <v>1933</v>
      </c>
      <c r="I194" s="2458"/>
      <c r="J194" s="1222"/>
      <c r="K194" s="1222"/>
      <c r="L194" s="1222"/>
      <c r="M194" s="1222"/>
      <c r="N194" s="1222"/>
      <c r="O194" s="1222"/>
      <c r="P194" s="1222"/>
      <c r="Q194" s="1222"/>
      <c r="R194" s="1222"/>
      <c r="S194" s="2459"/>
      <c r="T194" s="2460"/>
      <c r="U194" s="2460"/>
      <c r="V194" s="2460"/>
      <c r="W194" s="2460"/>
      <c r="X194" s="2460"/>
      <c r="Y194" s="2460"/>
      <c r="Z194" s="2460"/>
      <c r="AA194" s="2460"/>
      <c r="AB194" s="2460"/>
      <c r="AC194" s="2460"/>
      <c r="AD194" s="2460"/>
      <c r="AE194" s="2460"/>
      <c r="AF194" s="2460"/>
      <c r="AG194" s="2460"/>
      <c r="AH194" s="2460"/>
      <c r="AI194" s="2460"/>
      <c r="AJ194" s="2461"/>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37" zoomScaleNormal="100" zoomScaleSheetLayoutView="100" workbookViewId="0">
      <selection activeCell="AB51" sqref="AB51"/>
    </sheetView>
  </sheetViews>
  <sheetFormatPr defaultColWidth="0" defaultRowHeight="12.9" customHeight="1"/>
  <cols>
    <col min="1" max="1" width="1.5546875" style="434" customWidth="1"/>
    <col min="2" max="2" width="0.88671875" style="434" customWidth="1"/>
    <col min="3" max="18" width="2.5546875" style="434" customWidth="1"/>
    <col min="19" max="19" width="6.33203125" style="434" customWidth="1"/>
    <col min="20" max="39" width="2.6640625" style="434" customWidth="1"/>
    <col min="40" max="40" width="1.5546875" style="434" customWidth="1"/>
    <col min="41" max="256" width="2.5546875" style="434" hidden="1"/>
    <col min="257" max="257" width="1.5546875" style="434" hidden="1" customWidth="1"/>
    <col min="258" max="258" width="0.88671875" style="434" hidden="1" customWidth="1"/>
    <col min="259" max="274" width="2.5546875" style="434" hidden="1" customWidth="1"/>
    <col min="275" max="275" width="4" style="434" hidden="1" customWidth="1"/>
    <col min="276" max="279" width="2.5546875" style="434" hidden="1" customWidth="1"/>
    <col min="280" max="280" width="2.44140625" style="434" hidden="1" customWidth="1"/>
    <col min="281" max="284" width="2.5546875" style="434" hidden="1" customWidth="1"/>
    <col min="285" max="285" width="2.44140625" style="434" hidden="1" customWidth="1"/>
    <col min="286" max="289" width="2.5546875" style="434" hidden="1" customWidth="1"/>
    <col min="290" max="295" width="2.44140625" style="434" hidden="1" customWidth="1"/>
    <col min="296" max="296" width="1.5546875" style="434" hidden="1" customWidth="1"/>
    <col min="297" max="512" width="2.5546875" style="434" hidden="1"/>
    <col min="513" max="513" width="1.5546875" style="434" hidden="1" customWidth="1"/>
    <col min="514" max="514" width="0.88671875" style="434" hidden="1" customWidth="1"/>
    <col min="515" max="530" width="2.5546875" style="434" hidden="1" customWidth="1"/>
    <col min="531" max="531" width="4" style="434" hidden="1" customWidth="1"/>
    <col min="532" max="535" width="2.5546875" style="434" hidden="1" customWidth="1"/>
    <col min="536" max="536" width="2.44140625" style="434" hidden="1" customWidth="1"/>
    <col min="537" max="540" width="2.5546875" style="434" hidden="1" customWidth="1"/>
    <col min="541" max="541" width="2.44140625" style="434" hidden="1" customWidth="1"/>
    <col min="542" max="545" width="2.5546875" style="434" hidden="1" customWidth="1"/>
    <col min="546" max="551" width="2.44140625" style="434" hidden="1" customWidth="1"/>
    <col min="552" max="552" width="1.5546875" style="434" hidden="1" customWidth="1"/>
    <col min="553" max="768" width="2.5546875" style="434" hidden="1"/>
    <col min="769" max="769" width="1.5546875" style="434" hidden="1" customWidth="1"/>
    <col min="770" max="770" width="0.88671875" style="434" hidden="1" customWidth="1"/>
    <col min="771" max="786" width="2.5546875" style="434" hidden="1" customWidth="1"/>
    <col min="787" max="787" width="4" style="434" hidden="1" customWidth="1"/>
    <col min="788" max="791" width="2.5546875" style="434" hidden="1" customWidth="1"/>
    <col min="792" max="792" width="2.44140625" style="434" hidden="1" customWidth="1"/>
    <col min="793" max="796" width="2.5546875" style="434" hidden="1" customWidth="1"/>
    <col min="797" max="797" width="2.44140625" style="434" hidden="1" customWidth="1"/>
    <col min="798" max="801" width="2.5546875" style="434" hidden="1" customWidth="1"/>
    <col min="802" max="807" width="2.44140625" style="434" hidden="1" customWidth="1"/>
    <col min="808" max="808" width="1.5546875" style="434" hidden="1" customWidth="1"/>
    <col min="809" max="1024" width="2.5546875" style="434" hidden="1"/>
    <col min="1025" max="1025" width="1.5546875" style="434" hidden="1" customWidth="1"/>
    <col min="1026" max="1026" width="0.88671875" style="434" hidden="1" customWidth="1"/>
    <col min="1027" max="1042" width="2.5546875" style="434" hidden="1" customWidth="1"/>
    <col min="1043" max="1043" width="4" style="434" hidden="1" customWidth="1"/>
    <col min="1044" max="1047" width="2.5546875" style="434" hidden="1" customWidth="1"/>
    <col min="1048" max="1048" width="2.44140625" style="434" hidden="1" customWidth="1"/>
    <col min="1049" max="1052" width="2.5546875" style="434" hidden="1" customWidth="1"/>
    <col min="1053" max="1053" width="2.44140625" style="434" hidden="1" customWidth="1"/>
    <col min="1054" max="1057" width="2.5546875" style="434" hidden="1" customWidth="1"/>
    <col min="1058" max="1063" width="2.44140625" style="434" hidden="1" customWidth="1"/>
    <col min="1064" max="1064" width="1.5546875" style="434" hidden="1" customWidth="1"/>
    <col min="1065" max="1280" width="2.5546875" style="434" hidden="1"/>
    <col min="1281" max="1281" width="1.5546875" style="434" hidden="1" customWidth="1"/>
    <col min="1282" max="1282" width="0.88671875" style="434" hidden="1" customWidth="1"/>
    <col min="1283" max="1298" width="2.5546875" style="434" hidden="1" customWidth="1"/>
    <col min="1299" max="1299" width="4" style="434" hidden="1" customWidth="1"/>
    <col min="1300" max="1303" width="2.5546875" style="434" hidden="1" customWidth="1"/>
    <col min="1304" max="1304" width="2.44140625" style="434" hidden="1" customWidth="1"/>
    <col min="1305" max="1308" width="2.5546875" style="434" hidden="1" customWidth="1"/>
    <col min="1309" max="1309" width="2.44140625" style="434" hidden="1" customWidth="1"/>
    <col min="1310" max="1313" width="2.5546875" style="434" hidden="1" customWidth="1"/>
    <col min="1314" max="1319" width="2.44140625" style="434" hidden="1" customWidth="1"/>
    <col min="1320" max="1320" width="1.5546875" style="434" hidden="1" customWidth="1"/>
    <col min="1321" max="1536" width="2.5546875" style="434" hidden="1"/>
    <col min="1537" max="1537" width="1.5546875" style="434" hidden="1" customWidth="1"/>
    <col min="1538" max="1538" width="0.88671875" style="434" hidden="1" customWidth="1"/>
    <col min="1539" max="1554" width="2.5546875" style="434" hidden="1" customWidth="1"/>
    <col min="1555" max="1555" width="4" style="434" hidden="1" customWidth="1"/>
    <col min="1556" max="1559" width="2.5546875" style="434" hidden="1" customWidth="1"/>
    <col min="1560" max="1560" width="2.44140625" style="434" hidden="1" customWidth="1"/>
    <col min="1561" max="1564" width="2.5546875" style="434" hidden="1" customWidth="1"/>
    <col min="1565" max="1565" width="2.44140625" style="434" hidden="1" customWidth="1"/>
    <col min="1566" max="1569" width="2.5546875" style="434" hidden="1" customWidth="1"/>
    <col min="1570" max="1575" width="2.44140625" style="434" hidden="1" customWidth="1"/>
    <col min="1576" max="1576" width="1.5546875" style="434" hidden="1" customWidth="1"/>
    <col min="1577" max="1792" width="2.5546875" style="434" hidden="1"/>
    <col min="1793" max="1793" width="1.5546875" style="434" hidden="1" customWidth="1"/>
    <col min="1794" max="1794" width="0.88671875" style="434" hidden="1" customWidth="1"/>
    <col min="1795" max="1810" width="2.5546875" style="434" hidden="1" customWidth="1"/>
    <col min="1811" max="1811" width="4" style="434" hidden="1" customWidth="1"/>
    <col min="1812" max="1815" width="2.5546875" style="434" hidden="1" customWidth="1"/>
    <col min="1816" max="1816" width="2.44140625" style="434" hidden="1" customWidth="1"/>
    <col min="1817" max="1820" width="2.5546875" style="434" hidden="1" customWidth="1"/>
    <col min="1821" max="1821" width="2.44140625" style="434" hidden="1" customWidth="1"/>
    <col min="1822" max="1825" width="2.5546875" style="434" hidden="1" customWidth="1"/>
    <col min="1826" max="1831" width="2.44140625" style="434" hidden="1" customWidth="1"/>
    <col min="1832" max="1832" width="1.5546875" style="434" hidden="1" customWidth="1"/>
    <col min="1833" max="2048" width="2.5546875" style="434" hidden="1"/>
    <col min="2049" max="2049" width="1.5546875" style="434" hidden="1" customWidth="1"/>
    <col min="2050" max="2050" width="0.88671875" style="434" hidden="1" customWidth="1"/>
    <col min="2051" max="2066" width="2.5546875" style="434" hidden="1" customWidth="1"/>
    <col min="2067" max="2067" width="4" style="434" hidden="1" customWidth="1"/>
    <col min="2068" max="2071" width="2.5546875" style="434" hidden="1" customWidth="1"/>
    <col min="2072" max="2072" width="2.44140625" style="434" hidden="1" customWidth="1"/>
    <col min="2073" max="2076" width="2.5546875" style="434" hidden="1" customWidth="1"/>
    <col min="2077" max="2077" width="2.44140625" style="434" hidden="1" customWidth="1"/>
    <col min="2078" max="2081" width="2.5546875" style="434" hidden="1" customWidth="1"/>
    <col min="2082" max="2087" width="2.44140625" style="434" hidden="1" customWidth="1"/>
    <col min="2088" max="2088" width="1.5546875" style="434" hidden="1" customWidth="1"/>
    <col min="2089" max="2304" width="2.5546875" style="434" hidden="1"/>
    <col min="2305" max="2305" width="1.5546875" style="434" hidden="1" customWidth="1"/>
    <col min="2306" max="2306" width="0.88671875" style="434" hidden="1" customWidth="1"/>
    <col min="2307" max="2322" width="2.5546875" style="434" hidden="1" customWidth="1"/>
    <col min="2323" max="2323" width="4" style="434" hidden="1" customWidth="1"/>
    <col min="2324" max="2327" width="2.5546875" style="434" hidden="1" customWidth="1"/>
    <col min="2328" max="2328" width="2.44140625" style="434" hidden="1" customWidth="1"/>
    <col min="2329" max="2332" width="2.5546875" style="434" hidden="1" customWidth="1"/>
    <col min="2333" max="2333" width="2.44140625" style="434" hidden="1" customWidth="1"/>
    <col min="2334" max="2337" width="2.5546875" style="434" hidden="1" customWidth="1"/>
    <col min="2338" max="2343" width="2.44140625" style="434" hidden="1" customWidth="1"/>
    <col min="2344" max="2344" width="1.5546875" style="434" hidden="1" customWidth="1"/>
    <col min="2345" max="2560" width="2.5546875" style="434" hidden="1"/>
    <col min="2561" max="2561" width="1.5546875" style="434" hidden="1" customWidth="1"/>
    <col min="2562" max="2562" width="0.88671875" style="434" hidden="1" customWidth="1"/>
    <col min="2563" max="2578" width="2.5546875" style="434" hidden="1" customWidth="1"/>
    <col min="2579" max="2579" width="4" style="434" hidden="1" customWidth="1"/>
    <col min="2580" max="2583" width="2.5546875" style="434" hidden="1" customWidth="1"/>
    <col min="2584" max="2584" width="2.44140625" style="434" hidden="1" customWidth="1"/>
    <col min="2585" max="2588" width="2.5546875" style="434" hidden="1" customWidth="1"/>
    <col min="2589" max="2589" width="2.44140625" style="434" hidden="1" customWidth="1"/>
    <col min="2590" max="2593" width="2.5546875" style="434" hidden="1" customWidth="1"/>
    <col min="2594" max="2599" width="2.44140625" style="434" hidden="1" customWidth="1"/>
    <col min="2600" max="2600" width="1.5546875" style="434" hidden="1" customWidth="1"/>
    <col min="2601" max="2816" width="2.5546875" style="434" hidden="1"/>
    <col min="2817" max="2817" width="1.5546875" style="434" hidden="1" customWidth="1"/>
    <col min="2818" max="2818" width="0.88671875" style="434" hidden="1" customWidth="1"/>
    <col min="2819" max="2834" width="2.5546875" style="434" hidden="1" customWidth="1"/>
    <col min="2835" max="2835" width="4" style="434" hidden="1" customWidth="1"/>
    <col min="2836" max="2839" width="2.5546875" style="434" hidden="1" customWidth="1"/>
    <col min="2840" max="2840" width="2.44140625" style="434" hidden="1" customWidth="1"/>
    <col min="2841" max="2844" width="2.5546875" style="434" hidden="1" customWidth="1"/>
    <col min="2845" max="2845" width="2.44140625" style="434" hidden="1" customWidth="1"/>
    <col min="2846" max="2849" width="2.5546875" style="434" hidden="1" customWidth="1"/>
    <col min="2850" max="2855" width="2.44140625" style="434" hidden="1" customWidth="1"/>
    <col min="2856" max="2856" width="1.5546875" style="434" hidden="1" customWidth="1"/>
    <col min="2857" max="3072" width="2.5546875" style="434" hidden="1"/>
    <col min="3073" max="3073" width="1.5546875" style="434" hidden="1" customWidth="1"/>
    <col min="3074" max="3074" width="0.88671875" style="434" hidden="1" customWidth="1"/>
    <col min="3075" max="3090" width="2.5546875" style="434" hidden="1" customWidth="1"/>
    <col min="3091" max="3091" width="4" style="434" hidden="1" customWidth="1"/>
    <col min="3092" max="3095" width="2.5546875" style="434" hidden="1" customWidth="1"/>
    <col min="3096" max="3096" width="2.44140625" style="434" hidden="1" customWidth="1"/>
    <col min="3097" max="3100" width="2.5546875" style="434" hidden="1" customWidth="1"/>
    <col min="3101" max="3101" width="2.44140625" style="434" hidden="1" customWidth="1"/>
    <col min="3102" max="3105" width="2.5546875" style="434" hidden="1" customWidth="1"/>
    <col min="3106" max="3111" width="2.44140625" style="434" hidden="1" customWidth="1"/>
    <col min="3112" max="3112" width="1.5546875" style="434" hidden="1" customWidth="1"/>
    <col min="3113" max="3328" width="2.5546875" style="434" hidden="1"/>
    <col min="3329" max="3329" width="1.5546875" style="434" hidden="1" customWidth="1"/>
    <col min="3330" max="3330" width="0.88671875" style="434" hidden="1" customWidth="1"/>
    <col min="3331" max="3346" width="2.5546875" style="434" hidden="1" customWidth="1"/>
    <col min="3347" max="3347" width="4" style="434" hidden="1" customWidth="1"/>
    <col min="3348" max="3351" width="2.5546875" style="434" hidden="1" customWidth="1"/>
    <col min="3352" max="3352" width="2.44140625" style="434" hidden="1" customWidth="1"/>
    <col min="3353" max="3356" width="2.5546875" style="434" hidden="1" customWidth="1"/>
    <col min="3357" max="3357" width="2.44140625" style="434" hidden="1" customWidth="1"/>
    <col min="3358" max="3361" width="2.5546875" style="434" hidden="1" customWidth="1"/>
    <col min="3362" max="3367" width="2.44140625" style="434" hidden="1" customWidth="1"/>
    <col min="3368" max="3368" width="1.5546875" style="434" hidden="1" customWidth="1"/>
    <col min="3369" max="3584" width="2.5546875" style="434" hidden="1"/>
    <col min="3585" max="3585" width="1.5546875" style="434" hidden="1" customWidth="1"/>
    <col min="3586" max="3586" width="0.88671875" style="434" hidden="1" customWidth="1"/>
    <col min="3587" max="3602" width="2.5546875" style="434" hidden="1" customWidth="1"/>
    <col min="3603" max="3603" width="4" style="434" hidden="1" customWidth="1"/>
    <col min="3604" max="3607" width="2.5546875" style="434" hidden="1" customWidth="1"/>
    <col min="3608" max="3608" width="2.44140625" style="434" hidden="1" customWidth="1"/>
    <col min="3609" max="3612" width="2.5546875" style="434" hidden="1" customWidth="1"/>
    <col min="3613" max="3613" width="2.44140625" style="434" hidden="1" customWidth="1"/>
    <col min="3614" max="3617" width="2.5546875" style="434" hidden="1" customWidth="1"/>
    <col min="3618" max="3623" width="2.44140625" style="434" hidden="1" customWidth="1"/>
    <col min="3624" max="3624" width="1.5546875" style="434" hidden="1" customWidth="1"/>
    <col min="3625" max="3840" width="2.5546875" style="434" hidden="1"/>
    <col min="3841" max="3841" width="1.5546875" style="434" hidden="1" customWidth="1"/>
    <col min="3842" max="3842" width="0.88671875" style="434" hidden="1" customWidth="1"/>
    <col min="3843" max="3858" width="2.5546875" style="434" hidden="1" customWidth="1"/>
    <col min="3859" max="3859" width="4" style="434" hidden="1" customWidth="1"/>
    <col min="3860" max="3863" width="2.5546875" style="434" hidden="1" customWidth="1"/>
    <col min="3864" max="3864" width="2.44140625" style="434" hidden="1" customWidth="1"/>
    <col min="3865" max="3868" width="2.5546875" style="434" hidden="1" customWidth="1"/>
    <col min="3869" max="3869" width="2.44140625" style="434" hidden="1" customWidth="1"/>
    <col min="3870" max="3873" width="2.5546875" style="434" hidden="1" customWidth="1"/>
    <col min="3874" max="3879" width="2.44140625" style="434" hidden="1" customWidth="1"/>
    <col min="3880" max="3880" width="1.5546875" style="434" hidden="1" customWidth="1"/>
    <col min="3881" max="4096" width="2.5546875" style="434" hidden="1"/>
    <col min="4097" max="4097" width="1.5546875" style="434" hidden="1" customWidth="1"/>
    <col min="4098" max="4098" width="0.88671875" style="434" hidden="1" customWidth="1"/>
    <col min="4099" max="4114" width="2.5546875" style="434" hidden="1" customWidth="1"/>
    <col min="4115" max="4115" width="4" style="434" hidden="1" customWidth="1"/>
    <col min="4116" max="4119" width="2.5546875" style="434" hidden="1" customWidth="1"/>
    <col min="4120" max="4120" width="2.44140625" style="434" hidden="1" customWidth="1"/>
    <col min="4121" max="4124" width="2.5546875" style="434" hidden="1" customWidth="1"/>
    <col min="4125" max="4125" width="2.44140625" style="434" hidden="1" customWidth="1"/>
    <col min="4126" max="4129" width="2.5546875" style="434" hidden="1" customWidth="1"/>
    <col min="4130" max="4135" width="2.44140625" style="434" hidden="1" customWidth="1"/>
    <col min="4136" max="4136" width="1.5546875" style="434" hidden="1" customWidth="1"/>
    <col min="4137" max="4352" width="2.5546875" style="434" hidden="1"/>
    <col min="4353" max="4353" width="1.5546875" style="434" hidden="1" customWidth="1"/>
    <col min="4354" max="4354" width="0.88671875" style="434" hidden="1" customWidth="1"/>
    <col min="4355" max="4370" width="2.5546875" style="434" hidden="1" customWidth="1"/>
    <col min="4371" max="4371" width="4" style="434" hidden="1" customWidth="1"/>
    <col min="4372" max="4375" width="2.5546875" style="434" hidden="1" customWidth="1"/>
    <col min="4376" max="4376" width="2.44140625" style="434" hidden="1" customWidth="1"/>
    <col min="4377" max="4380" width="2.5546875" style="434" hidden="1" customWidth="1"/>
    <col min="4381" max="4381" width="2.44140625" style="434" hidden="1" customWidth="1"/>
    <col min="4382" max="4385" width="2.5546875" style="434" hidden="1" customWidth="1"/>
    <col min="4386" max="4391" width="2.44140625" style="434" hidden="1" customWidth="1"/>
    <col min="4392" max="4392" width="1.5546875" style="434" hidden="1" customWidth="1"/>
    <col min="4393" max="4608" width="2.5546875" style="434" hidden="1"/>
    <col min="4609" max="4609" width="1.5546875" style="434" hidden="1" customWidth="1"/>
    <col min="4610" max="4610" width="0.88671875" style="434" hidden="1" customWidth="1"/>
    <col min="4611" max="4626" width="2.5546875" style="434" hidden="1" customWidth="1"/>
    <col min="4627" max="4627" width="4" style="434" hidden="1" customWidth="1"/>
    <col min="4628" max="4631" width="2.5546875" style="434" hidden="1" customWidth="1"/>
    <col min="4632" max="4632" width="2.44140625" style="434" hidden="1" customWidth="1"/>
    <col min="4633" max="4636" width="2.5546875" style="434" hidden="1" customWidth="1"/>
    <col min="4637" max="4637" width="2.44140625" style="434" hidden="1" customWidth="1"/>
    <col min="4638" max="4641" width="2.5546875" style="434" hidden="1" customWidth="1"/>
    <col min="4642" max="4647" width="2.44140625" style="434" hidden="1" customWidth="1"/>
    <col min="4648" max="4648" width="1.5546875" style="434" hidden="1" customWidth="1"/>
    <col min="4649" max="4864" width="2.5546875" style="434" hidden="1"/>
    <col min="4865" max="4865" width="1.5546875" style="434" hidden="1" customWidth="1"/>
    <col min="4866" max="4866" width="0.88671875" style="434" hidden="1" customWidth="1"/>
    <col min="4867" max="4882" width="2.5546875" style="434" hidden="1" customWidth="1"/>
    <col min="4883" max="4883" width="4" style="434" hidden="1" customWidth="1"/>
    <col min="4884" max="4887" width="2.5546875" style="434" hidden="1" customWidth="1"/>
    <col min="4888" max="4888" width="2.44140625" style="434" hidden="1" customWidth="1"/>
    <col min="4889" max="4892" width="2.5546875" style="434" hidden="1" customWidth="1"/>
    <col min="4893" max="4893" width="2.44140625" style="434" hidden="1" customWidth="1"/>
    <col min="4894" max="4897" width="2.5546875" style="434" hidden="1" customWidth="1"/>
    <col min="4898" max="4903" width="2.44140625" style="434" hidden="1" customWidth="1"/>
    <col min="4904" max="4904" width="1.5546875" style="434" hidden="1" customWidth="1"/>
    <col min="4905" max="5120" width="2.5546875" style="434" hidden="1"/>
    <col min="5121" max="5121" width="1.5546875" style="434" hidden="1" customWidth="1"/>
    <col min="5122" max="5122" width="0.88671875" style="434" hidden="1" customWidth="1"/>
    <col min="5123" max="5138" width="2.5546875" style="434" hidden="1" customWidth="1"/>
    <col min="5139" max="5139" width="4" style="434" hidden="1" customWidth="1"/>
    <col min="5140" max="5143" width="2.5546875" style="434" hidden="1" customWidth="1"/>
    <col min="5144" max="5144" width="2.44140625" style="434" hidden="1" customWidth="1"/>
    <col min="5145" max="5148" width="2.5546875" style="434" hidden="1" customWidth="1"/>
    <col min="5149" max="5149" width="2.44140625" style="434" hidden="1" customWidth="1"/>
    <col min="5150" max="5153" width="2.5546875" style="434" hidden="1" customWidth="1"/>
    <col min="5154" max="5159" width="2.44140625" style="434" hidden="1" customWidth="1"/>
    <col min="5160" max="5160" width="1.5546875" style="434" hidden="1" customWidth="1"/>
    <col min="5161" max="5376" width="2.5546875" style="434" hidden="1"/>
    <col min="5377" max="5377" width="1.5546875" style="434" hidden="1" customWidth="1"/>
    <col min="5378" max="5378" width="0.88671875" style="434" hidden="1" customWidth="1"/>
    <col min="5379" max="5394" width="2.5546875" style="434" hidden="1" customWidth="1"/>
    <col min="5395" max="5395" width="4" style="434" hidden="1" customWidth="1"/>
    <col min="5396" max="5399" width="2.5546875" style="434" hidden="1" customWidth="1"/>
    <col min="5400" max="5400" width="2.44140625" style="434" hidden="1" customWidth="1"/>
    <col min="5401" max="5404" width="2.5546875" style="434" hidden="1" customWidth="1"/>
    <col min="5405" max="5405" width="2.44140625" style="434" hidden="1" customWidth="1"/>
    <col min="5406" max="5409" width="2.5546875" style="434" hidden="1" customWidth="1"/>
    <col min="5410" max="5415" width="2.44140625" style="434" hidden="1" customWidth="1"/>
    <col min="5416" max="5416" width="1.5546875" style="434" hidden="1" customWidth="1"/>
    <col min="5417" max="5632" width="2.5546875" style="434" hidden="1"/>
    <col min="5633" max="5633" width="1.5546875" style="434" hidden="1" customWidth="1"/>
    <col min="5634" max="5634" width="0.88671875" style="434" hidden="1" customWidth="1"/>
    <col min="5635" max="5650" width="2.5546875" style="434" hidden="1" customWidth="1"/>
    <col min="5651" max="5651" width="4" style="434" hidden="1" customWidth="1"/>
    <col min="5652" max="5655" width="2.5546875" style="434" hidden="1" customWidth="1"/>
    <col min="5656" max="5656" width="2.44140625" style="434" hidden="1" customWidth="1"/>
    <col min="5657" max="5660" width="2.5546875" style="434" hidden="1" customWidth="1"/>
    <col min="5661" max="5661" width="2.44140625" style="434" hidden="1" customWidth="1"/>
    <col min="5662" max="5665" width="2.5546875" style="434" hidden="1" customWidth="1"/>
    <col min="5666" max="5671" width="2.44140625" style="434" hidden="1" customWidth="1"/>
    <col min="5672" max="5672" width="1.5546875" style="434" hidden="1" customWidth="1"/>
    <col min="5673" max="5888" width="2.5546875" style="434" hidden="1"/>
    <col min="5889" max="5889" width="1.5546875" style="434" hidden="1" customWidth="1"/>
    <col min="5890" max="5890" width="0.88671875" style="434" hidden="1" customWidth="1"/>
    <col min="5891" max="5906" width="2.5546875" style="434" hidden="1" customWidth="1"/>
    <col min="5907" max="5907" width="4" style="434" hidden="1" customWidth="1"/>
    <col min="5908" max="5911" width="2.5546875" style="434" hidden="1" customWidth="1"/>
    <col min="5912" max="5912" width="2.44140625" style="434" hidden="1" customWidth="1"/>
    <col min="5913" max="5916" width="2.5546875" style="434" hidden="1" customWidth="1"/>
    <col min="5917" max="5917" width="2.44140625" style="434" hidden="1" customWidth="1"/>
    <col min="5918" max="5921" width="2.5546875" style="434" hidden="1" customWidth="1"/>
    <col min="5922" max="5927" width="2.44140625" style="434" hidden="1" customWidth="1"/>
    <col min="5928" max="5928" width="1.5546875" style="434" hidden="1" customWidth="1"/>
    <col min="5929" max="6144" width="2.5546875" style="434" hidden="1"/>
    <col min="6145" max="6145" width="1.5546875" style="434" hidden="1" customWidth="1"/>
    <col min="6146" max="6146" width="0.88671875" style="434" hidden="1" customWidth="1"/>
    <col min="6147" max="6162" width="2.5546875" style="434" hidden="1" customWidth="1"/>
    <col min="6163" max="6163" width="4" style="434" hidden="1" customWidth="1"/>
    <col min="6164" max="6167" width="2.5546875" style="434" hidden="1" customWidth="1"/>
    <col min="6168" max="6168" width="2.44140625" style="434" hidden="1" customWidth="1"/>
    <col min="6169" max="6172" width="2.5546875" style="434" hidden="1" customWidth="1"/>
    <col min="6173" max="6173" width="2.44140625" style="434" hidden="1" customWidth="1"/>
    <col min="6174" max="6177" width="2.5546875" style="434" hidden="1" customWidth="1"/>
    <col min="6178" max="6183" width="2.44140625" style="434" hidden="1" customWidth="1"/>
    <col min="6184" max="6184" width="1.5546875" style="434" hidden="1" customWidth="1"/>
    <col min="6185" max="6400" width="2.5546875" style="434" hidden="1"/>
    <col min="6401" max="6401" width="1.5546875" style="434" hidden="1" customWidth="1"/>
    <col min="6402" max="6402" width="0.88671875" style="434" hidden="1" customWidth="1"/>
    <col min="6403" max="6418" width="2.5546875" style="434" hidden="1" customWidth="1"/>
    <col min="6419" max="6419" width="4" style="434" hidden="1" customWidth="1"/>
    <col min="6420" max="6423" width="2.5546875" style="434" hidden="1" customWidth="1"/>
    <col min="6424" max="6424" width="2.44140625" style="434" hidden="1" customWidth="1"/>
    <col min="6425" max="6428" width="2.5546875" style="434" hidden="1" customWidth="1"/>
    <col min="6429" max="6429" width="2.44140625" style="434" hidden="1" customWidth="1"/>
    <col min="6430" max="6433" width="2.5546875" style="434" hidden="1" customWidth="1"/>
    <col min="6434" max="6439" width="2.44140625" style="434" hidden="1" customWidth="1"/>
    <col min="6440" max="6440" width="1.5546875" style="434" hidden="1" customWidth="1"/>
    <col min="6441" max="6656" width="2.5546875" style="434" hidden="1"/>
    <col min="6657" max="6657" width="1.5546875" style="434" hidden="1" customWidth="1"/>
    <col min="6658" max="6658" width="0.88671875" style="434" hidden="1" customWidth="1"/>
    <col min="6659" max="6674" width="2.5546875" style="434" hidden="1" customWidth="1"/>
    <col min="6675" max="6675" width="4" style="434" hidden="1" customWidth="1"/>
    <col min="6676" max="6679" width="2.5546875" style="434" hidden="1" customWidth="1"/>
    <col min="6680" max="6680" width="2.44140625" style="434" hidden="1" customWidth="1"/>
    <col min="6681" max="6684" width="2.5546875" style="434" hidden="1" customWidth="1"/>
    <col min="6685" max="6685" width="2.44140625" style="434" hidden="1" customWidth="1"/>
    <col min="6686" max="6689" width="2.5546875" style="434" hidden="1" customWidth="1"/>
    <col min="6690" max="6695" width="2.44140625" style="434" hidden="1" customWidth="1"/>
    <col min="6696" max="6696" width="1.5546875" style="434" hidden="1" customWidth="1"/>
    <col min="6697" max="6912" width="2.5546875" style="434" hidden="1"/>
    <col min="6913" max="6913" width="1.5546875" style="434" hidden="1" customWidth="1"/>
    <col min="6914" max="6914" width="0.88671875" style="434" hidden="1" customWidth="1"/>
    <col min="6915" max="6930" width="2.5546875" style="434" hidden="1" customWidth="1"/>
    <col min="6931" max="6931" width="4" style="434" hidden="1" customWidth="1"/>
    <col min="6932" max="6935" width="2.5546875" style="434" hidden="1" customWidth="1"/>
    <col min="6936" max="6936" width="2.44140625" style="434" hidden="1" customWidth="1"/>
    <col min="6937" max="6940" width="2.5546875" style="434" hidden="1" customWidth="1"/>
    <col min="6941" max="6941" width="2.44140625" style="434" hidden="1" customWidth="1"/>
    <col min="6942" max="6945" width="2.5546875" style="434" hidden="1" customWidth="1"/>
    <col min="6946" max="6951" width="2.44140625" style="434" hidden="1" customWidth="1"/>
    <col min="6952" max="6952" width="1.5546875" style="434" hidden="1" customWidth="1"/>
    <col min="6953" max="7168" width="2.5546875" style="434" hidden="1"/>
    <col min="7169" max="7169" width="1.5546875" style="434" hidden="1" customWidth="1"/>
    <col min="7170" max="7170" width="0.88671875" style="434" hidden="1" customWidth="1"/>
    <col min="7171" max="7186" width="2.5546875" style="434" hidden="1" customWidth="1"/>
    <col min="7187" max="7187" width="4" style="434" hidden="1" customWidth="1"/>
    <col min="7188" max="7191" width="2.5546875" style="434" hidden="1" customWidth="1"/>
    <col min="7192" max="7192" width="2.44140625" style="434" hidden="1" customWidth="1"/>
    <col min="7193" max="7196" width="2.5546875" style="434" hidden="1" customWidth="1"/>
    <col min="7197" max="7197" width="2.44140625" style="434" hidden="1" customWidth="1"/>
    <col min="7198" max="7201" width="2.5546875" style="434" hidden="1" customWidth="1"/>
    <col min="7202" max="7207" width="2.44140625" style="434" hidden="1" customWidth="1"/>
    <col min="7208" max="7208" width="1.5546875" style="434" hidden="1" customWidth="1"/>
    <col min="7209" max="7424" width="2.5546875" style="434" hidden="1"/>
    <col min="7425" max="7425" width="1.5546875" style="434" hidden="1" customWidth="1"/>
    <col min="7426" max="7426" width="0.88671875" style="434" hidden="1" customWidth="1"/>
    <col min="7427" max="7442" width="2.5546875" style="434" hidden="1" customWidth="1"/>
    <col min="7443" max="7443" width="4" style="434" hidden="1" customWidth="1"/>
    <col min="7444" max="7447" width="2.5546875" style="434" hidden="1" customWidth="1"/>
    <col min="7448" max="7448" width="2.44140625" style="434" hidden="1" customWidth="1"/>
    <col min="7449" max="7452" width="2.5546875" style="434" hidden="1" customWidth="1"/>
    <col min="7453" max="7453" width="2.44140625" style="434" hidden="1" customWidth="1"/>
    <col min="7454" max="7457" width="2.5546875" style="434" hidden="1" customWidth="1"/>
    <col min="7458" max="7463" width="2.44140625" style="434" hidden="1" customWidth="1"/>
    <col min="7464" max="7464" width="1.5546875" style="434" hidden="1" customWidth="1"/>
    <col min="7465" max="7680" width="2.5546875" style="434" hidden="1"/>
    <col min="7681" max="7681" width="1.5546875" style="434" hidden="1" customWidth="1"/>
    <col min="7682" max="7682" width="0.88671875" style="434" hidden="1" customWidth="1"/>
    <col min="7683" max="7698" width="2.5546875" style="434" hidden="1" customWidth="1"/>
    <col min="7699" max="7699" width="4" style="434" hidden="1" customWidth="1"/>
    <col min="7700" max="7703" width="2.5546875" style="434" hidden="1" customWidth="1"/>
    <col min="7704" max="7704" width="2.44140625" style="434" hidden="1" customWidth="1"/>
    <col min="7705" max="7708" width="2.5546875" style="434" hidden="1" customWidth="1"/>
    <col min="7709" max="7709" width="2.44140625" style="434" hidden="1" customWidth="1"/>
    <col min="7710" max="7713" width="2.5546875" style="434" hidden="1" customWidth="1"/>
    <col min="7714" max="7719" width="2.44140625" style="434" hidden="1" customWidth="1"/>
    <col min="7720" max="7720" width="1.5546875" style="434" hidden="1" customWidth="1"/>
    <col min="7721" max="7936" width="2.5546875" style="434" hidden="1"/>
    <col min="7937" max="7937" width="1.5546875" style="434" hidden="1" customWidth="1"/>
    <col min="7938" max="7938" width="0.88671875" style="434" hidden="1" customWidth="1"/>
    <col min="7939" max="7954" width="2.5546875" style="434" hidden="1" customWidth="1"/>
    <col min="7955" max="7955" width="4" style="434" hidden="1" customWidth="1"/>
    <col min="7956" max="7959" width="2.5546875" style="434" hidden="1" customWidth="1"/>
    <col min="7960" max="7960" width="2.44140625" style="434" hidden="1" customWidth="1"/>
    <col min="7961" max="7964" width="2.5546875" style="434" hidden="1" customWidth="1"/>
    <col min="7965" max="7965" width="2.44140625" style="434" hidden="1" customWidth="1"/>
    <col min="7966" max="7969" width="2.5546875" style="434" hidden="1" customWidth="1"/>
    <col min="7970" max="7975" width="2.44140625" style="434" hidden="1" customWidth="1"/>
    <col min="7976" max="7976" width="1.5546875" style="434" hidden="1" customWidth="1"/>
    <col min="7977" max="8192" width="2.5546875" style="434" hidden="1"/>
    <col min="8193" max="8193" width="1.5546875" style="434" hidden="1" customWidth="1"/>
    <col min="8194" max="8194" width="0.88671875" style="434" hidden="1" customWidth="1"/>
    <col min="8195" max="8210" width="2.5546875" style="434" hidden="1" customWidth="1"/>
    <col min="8211" max="8211" width="4" style="434" hidden="1" customWidth="1"/>
    <col min="8212" max="8215" width="2.5546875" style="434" hidden="1" customWidth="1"/>
    <col min="8216" max="8216" width="2.44140625" style="434" hidden="1" customWidth="1"/>
    <col min="8217" max="8220" width="2.5546875" style="434" hidden="1" customWidth="1"/>
    <col min="8221" max="8221" width="2.44140625" style="434" hidden="1" customWidth="1"/>
    <col min="8222" max="8225" width="2.5546875" style="434" hidden="1" customWidth="1"/>
    <col min="8226" max="8231" width="2.44140625" style="434" hidden="1" customWidth="1"/>
    <col min="8232" max="8232" width="1.5546875" style="434" hidden="1" customWidth="1"/>
    <col min="8233" max="8448" width="2.5546875" style="434" hidden="1"/>
    <col min="8449" max="8449" width="1.5546875" style="434" hidden="1" customWidth="1"/>
    <col min="8450" max="8450" width="0.88671875" style="434" hidden="1" customWidth="1"/>
    <col min="8451" max="8466" width="2.5546875" style="434" hidden="1" customWidth="1"/>
    <col min="8467" max="8467" width="4" style="434" hidden="1" customWidth="1"/>
    <col min="8468" max="8471" width="2.5546875" style="434" hidden="1" customWidth="1"/>
    <col min="8472" max="8472" width="2.44140625" style="434" hidden="1" customWidth="1"/>
    <col min="8473" max="8476" width="2.5546875" style="434" hidden="1" customWidth="1"/>
    <col min="8477" max="8477" width="2.44140625" style="434" hidden="1" customWidth="1"/>
    <col min="8478" max="8481" width="2.5546875" style="434" hidden="1" customWidth="1"/>
    <col min="8482" max="8487" width="2.44140625" style="434" hidden="1" customWidth="1"/>
    <col min="8488" max="8488" width="1.5546875" style="434" hidden="1" customWidth="1"/>
    <col min="8489" max="8704" width="2.5546875" style="434" hidden="1"/>
    <col min="8705" max="8705" width="1.5546875" style="434" hidden="1" customWidth="1"/>
    <col min="8706" max="8706" width="0.88671875" style="434" hidden="1" customWidth="1"/>
    <col min="8707" max="8722" width="2.5546875" style="434" hidden="1" customWidth="1"/>
    <col min="8723" max="8723" width="4" style="434" hidden="1" customWidth="1"/>
    <col min="8724" max="8727" width="2.5546875" style="434" hidden="1" customWidth="1"/>
    <col min="8728" max="8728" width="2.44140625" style="434" hidden="1" customWidth="1"/>
    <col min="8729" max="8732" width="2.5546875" style="434" hidden="1" customWidth="1"/>
    <col min="8733" max="8733" width="2.44140625" style="434" hidden="1" customWidth="1"/>
    <col min="8734" max="8737" width="2.5546875" style="434" hidden="1" customWidth="1"/>
    <col min="8738" max="8743" width="2.44140625" style="434" hidden="1" customWidth="1"/>
    <col min="8744" max="8744" width="1.5546875" style="434" hidden="1" customWidth="1"/>
    <col min="8745" max="8960" width="2.5546875" style="434" hidden="1"/>
    <col min="8961" max="8961" width="1.5546875" style="434" hidden="1" customWidth="1"/>
    <col min="8962" max="8962" width="0.88671875" style="434" hidden="1" customWidth="1"/>
    <col min="8963" max="8978" width="2.5546875" style="434" hidden="1" customWidth="1"/>
    <col min="8979" max="8979" width="4" style="434" hidden="1" customWidth="1"/>
    <col min="8980" max="8983" width="2.5546875" style="434" hidden="1" customWidth="1"/>
    <col min="8984" max="8984" width="2.44140625" style="434" hidden="1" customWidth="1"/>
    <col min="8985" max="8988" width="2.5546875" style="434" hidden="1" customWidth="1"/>
    <col min="8989" max="8989" width="2.44140625" style="434" hidden="1" customWidth="1"/>
    <col min="8990" max="8993" width="2.5546875" style="434" hidden="1" customWidth="1"/>
    <col min="8994" max="8999" width="2.44140625" style="434" hidden="1" customWidth="1"/>
    <col min="9000" max="9000" width="1.5546875" style="434" hidden="1" customWidth="1"/>
    <col min="9001" max="9216" width="2.5546875" style="434" hidden="1"/>
    <col min="9217" max="9217" width="1.5546875" style="434" hidden="1" customWidth="1"/>
    <col min="9218" max="9218" width="0.88671875" style="434" hidden="1" customWidth="1"/>
    <col min="9219" max="9234" width="2.5546875" style="434" hidden="1" customWidth="1"/>
    <col min="9235" max="9235" width="4" style="434" hidden="1" customWidth="1"/>
    <col min="9236" max="9239" width="2.5546875" style="434" hidden="1" customWidth="1"/>
    <col min="9240" max="9240" width="2.44140625" style="434" hidden="1" customWidth="1"/>
    <col min="9241" max="9244" width="2.5546875" style="434" hidden="1" customWidth="1"/>
    <col min="9245" max="9245" width="2.44140625" style="434" hidden="1" customWidth="1"/>
    <col min="9246" max="9249" width="2.5546875" style="434" hidden="1" customWidth="1"/>
    <col min="9250" max="9255" width="2.44140625" style="434" hidden="1" customWidth="1"/>
    <col min="9256" max="9256" width="1.5546875" style="434" hidden="1" customWidth="1"/>
    <col min="9257" max="9472" width="2.5546875" style="434" hidden="1"/>
    <col min="9473" max="9473" width="1.5546875" style="434" hidden="1" customWidth="1"/>
    <col min="9474" max="9474" width="0.88671875" style="434" hidden="1" customWidth="1"/>
    <col min="9475" max="9490" width="2.5546875" style="434" hidden="1" customWidth="1"/>
    <col min="9491" max="9491" width="4" style="434" hidden="1" customWidth="1"/>
    <col min="9492" max="9495" width="2.5546875" style="434" hidden="1" customWidth="1"/>
    <col min="9496" max="9496" width="2.44140625" style="434" hidden="1" customWidth="1"/>
    <col min="9497" max="9500" width="2.5546875" style="434" hidden="1" customWidth="1"/>
    <col min="9501" max="9501" width="2.44140625" style="434" hidden="1" customWidth="1"/>
    <col min="9502" max="9505" width="2.5546875" style="434" hidden="1" customWidth="1"/>
    <col min="9506" max="9511" width="2.44140625" style="434" hidden="1" customWidth="1"/>
    <col min="9512" max="9512" width="1.5546875" style="434" hidden="1" customWidth="1"/>
    <col min="9513" max="9728" width="2.5546875" style="434" hidden="1"/>
    <col min="9729" max="9729" width="1.5546875" style="434" hidden="1" customWidth="1"/>
    <col min="9730" max="9730" width="0.88671875" style="434" hidden="1" customWidth="1"/>
    <col min="9731" max="9746" width="2.5546875" style="434" hidden="1" customWidth="1"/>
    <col min="9747" max="9747" width="4" style="434" hidden="1" customWidth="1"/>
    <col min="9748" max="9751" width="2.5546875" style="434" hidden="1" customWidth="1"/>
    <col min="9752" max="9752" width="2.44140625" style="434" hidden="1" customWidth="1"/>
    <col min="9753" max="9756" width="2.5546875" style="434" hidden="1" customWidth="1"/>
    <col min="9757" max="9757" width="2.44140625" style="434" hidden="1" customWidth="1"/>
    <col min="9758" max="9761" width="2.5546875" style="434" hidden="1" customWidth="1"/>
    <col min="9762" max="9767" width="2.44140625" style="434" hidden="1" customWidth="1"/>
    <col min="9768" max="9768" width="1.5546875" style="434" hidden="1" customWidth="1"/>
    <col min="9769" max="9984" width="2.5546875" style="434" hidden="1"/>
    <col min="9985" max="9985" width="1.5546875" style="434" hidden="1" customWidth="1"/>
    <col min="9986" max="9986" width="0.88671875" style="434" hidden="1" customWidth="1"/>
    <col min="9987" max="10002" width="2.5546875" style="434" hidden="1" customWidth="1"/>
    <col min="10003" max="10003" width="4" style="434" hidden="1" customWidth="1"/>
    <col min="10004" max="10007" width="2.5546875" style="434" hidden="1" customWidth="1"/>
    <col min="10008" max="10008" width="2.44140625" style="434" hidden="1" customWidth="1"/>
    <col min="10009" max="10012" width="2.5546875" style="434" hidden="1" customWidth="1"/>
    <col min="10013" max="10013" width="2.44140625" style="434" hidden="1" customWidth="1"/>
    <col min="10014" max="10017" width="2.5546875" style="434" hidden="1" customWidth="1"/>
    <col min="10018" max="10023" width="2.44140625" style="434" hidden="1" customWidth="1"/>
    <col min="10024" max="10024" width="1.5546875" style="434" hidden="1" customWidth="1"/>
    <col min="10025" max="10240" width="2.5546875" style="434" hidden="1"/>
    <col min="10241" max="10241" width="1.5546875" style="434" hidden="1" customWidth="1"/>
    <col min="10242" max="10242" width="0.88671875" style="434" hidden="1" customWidth="1"/>
    <col min="10243" max="10258" width="2.5546875" style="434" hidden="1" customWidth="1"/>
    <col min="10259" max="10259" width="4" style="434" hidden="1" customWidth="1"/>
    <col min="10260" max="10263" width="2.5546875" style="434" hidden="1" customWidth="1"/>
    <col min="10264" max="10264" width="2.44140625" style="434" hidden="1" customWidth="1"/>
    <col min="10265" max="10268" width="2.5546875" style="434" hidden="1" customWidth="1"/>
    <col min="10269" max="10269" width="2.44140625" style="434" hidden="1" customWidth="1"/>
    <col min="10270" max="10273" width="2.5546875" style="434" hidden="1" customWidth="1"/>
    <col min="10274" max="10279" width="2.44140625" style="434" hidden="1" customWidth="1"/>
    <col min="10280" max="10280" width="1.5546875" style="434" hidden="1" customWidth="1"/>
    <col min="10281" max="10496" width="2.5546875" style="434" hidden="1"/>
    <col min="10497" max="10497" width="1.5546875" style="434" hidden="1" customWidth="1"/>
    <col min="10498" max="10498" width="0.88671875" style="434" hidden="1" customWidth="1"/>
    <col min="10499" max="10514" width="2.5546875" style="434" hidden="1" customWidth="1"/>
    <col min="10515" max="10515" width="4" style="434" hidden="1" customWidth="1"/>
    <col min="10516" max="10519" width="2.5546875" style="434" hidden="1" customWidth="1"/>
    <col min="10520" max="10520" width="2.44140625" style="434" hidden="1" customWidth="1"/>
    <col min="10521" max="10524" width="2.5546875" style="434" hidden="1" customWidth="1"/>
    <col min="10525" max="10525" width="2.44140625" style="434" hidden="1" customWidth="1"/>
    <col min="10526" max="10529" width="2.5546875" style="434" hidden="1" customWidth="1"/>
    <col min="10530" max="10535" width="2.44140625" style="434" hidden="1" customWidth="1"/>
    <col min="10536" max="10536" width="1.5546875" style="434" hidden="1" customWidth="1"/>
    <col min="10537" max="10752" width="2.5546875" style="434" hidden="1"/>
    <col min="10753" max="10753" width="1.5546875" style="434" hidden="1" customWidth="1"/>
    <col min="10754" max="10754" width="0.88671875" style="434" hidden="1" customWidth="1"/>
    <col min="10755" max="10770" width="2.5546875" style="434" hidden="1" customWidth="1"/>
    <col min="10771" max="10771" width="4" style="434" hidden="1" customWidth="1"/>
    <col min="10772" max="10775" width="2.5546875" style="434" hidden="1" customWidth="1"/>
    <col min="10776" max="10776" width="2.44140625" style="434" hidden="1" customWidth="1"/>
    <col min="10777" max="10780" width="2.5546875" style="434" hidden="1" customWidth="1"/>
    <col min="10781" max="10781" width="2.44140625" style="434" hidden="1" customWidth="1"/>
    <col min="10782" max="10785" width="2.5546875" style="434" hidden="1" customWidth="1"/>
    <col min="10786" max="10791" width="2.44140625" style="434" hidden="1" customWidth="1"/>
    <col min="10792" max="10792" width="1.5546875" style="434" hidden="1" customWidth="1"/>
    <col min="10793" max="11008" width="2.5546875" style="434" hidden="1"/>
    <col min="11009" max="11009" width="1.5546875" style="434" hidden="1" customWidth="1"/>
    <col min="11010" max="11010" width="0.88671875" style="434" hidden="1" customWidth="1"/>
    <col min="11011" max="11026" width="2.5546875" style="434" hidden="1" customWidth="1"/>
    <col min="11027" max="11027" width="4" style="434" hidden="1" customWidth="1"/>
    <col min="11028" max="11031" width="2.5546875" style="434" hidden="1" customWidth="1"/>
    <col min="11032" max="11032" width="2.44140625" style="434" hidden="1" customWidth="1"/>
    <col min="11033" max="11036" width="2.5546875" style="434" hidden="1" customWidth="1"/>
    <col min="11037" max="11037" width="2.44140625" style="434" hidden="1" customWidth="1"/>
    <col min="11038" max="11041" width="2.5546875" style="434" hidden="1" customWidth="1"/>
    <col min="11042" max="11047" width="2.44140625" style="434" hidden="1" customWidth="1"/>
    <col min="11048" max="11048" width="1.5546875" style="434" hidden="1" customWidth="1"/>
    <col min="11049" max="11264" width="2.5546875" style="434" hidden="1"/>
    <col min="11265" max="11265" width="1.5546875" style="434" hidden="1" customWidth="1"/>
    <col min="11266" max="11266" width="0.88671875" style="434" hidden="1" customWidth="1"/>
    <col min="11267" max="11282" width="2.5546875" style="434" hidden="1" customWidth="1"/>
    <col min="11283" max="11283" width="4" style="434" hidden="1" customWidth="1"/>
    <col min="11284" max="11287" width="2.5546875" style="434" hidden="1" customWidth="1"/>
    <col min="11288" max="11288" width="2.44140625" style="434" hidden="1" customWidth="1"/>
    <col min="11289" max="11292" width="2.5546875" style="434" hidden="1" customWidth="1"/>
    <col min="11293" max="11293" width="2.44140625" style="434" hidden="1" customWidth="1"/>
    <col min="11294" max="11297" width="2.5546875" style="434" hidden="1" customWidth="1"/>
    <col min="11298" max="11303" width="2.44140625" style="434" hidden="1" customWidth="1"/>
    <col min="11304" max="11304" width="1.5546875" style="434" hidden="1" customWidth="1"/>
    <col min="11305" max="11520" width="2.5546875" style="434" hidden="1"/>
    <col min="11521" max="11521" width="1.5546875" style="434" hidden="1" customWidth="1"/>
    <col min="11522" max="11522" width="0.88671875" style="434" hidden="1" customWidth="1"/>
    <col min="11523" max="11538" width="2.5546875" style="434" hidden="1" customWidth="1"/>
    <col min="11539" max="11539" width="4" style="434" hidden="1" customWidth="1"/>
    <col min="11540" max="11543" width="2.5546875" style="434" hidden="1" customWidth="1"/>
    <col min="11544" max="11544" width="2.44140625" style="434" hidden="1" customWidth="1"/>
    <col min="11545" max="11548" width="2.5546875" style="434" hidden="1" customWidth="1"/>
    <col min="11549" max="11549" width="2.44140625" style="434" hidden="1" customWidth="1"/>
    <col min="11550" max="11553" width="2.5546875" style="434" hidden="1" customWidth="1"/>
    <col min="11554" max="11559" width="2.44140625" style="434" hidden="1" customWidth="1"/>
    <col min="11560" max="11560" width="1.5546875" style="434" hidden="1" customWidth="1"/>
    <col min="11561" max="11776" width="2.5546875" style="434" hidden="1"/>
    <col min="11777" max="11777" width="1.5546875" style="434" hidden="1" customWidth="1"/>
    <col min="11778" max="11778" width="0.88671875" style="434" hidden="1" customWidth="1"/>
    <col min="11779" max="11794" width="2.5546875" style="434" hidden="1" customWidth="1"/>
    <col min="11795" max="11795" width="4" style="434" hidden="1" customWidth="1"/>
    <col min="11796" max="11799" width="2.5546875" style="434" hidden="1" customWidth="1"/>
    <col min="11800" max="11800" width="2.44140625" style="434" hidden="1" customWidth="1"/>
    <col min="11801" max="11804" width="2.5546875" style="434" hidden="1" customWidth="1"/>
    <col min="11805" max="11805" width="2.44140625" style="434" hidden="1" customWidth="1"/>
    <col min="11806" max="11809" width="2.5546875" style="434" hidden="1" customWidth="1"/>
    <col min="11810" max="11815" width="2.44140625" style="434" hidden="1" customWidth="1"/>
    <col min="11816" max="11816" width="1.5546875" style="434" hidden="1" customWidth="1"/>
    <col min="11817" max="12032" width="2.5546875" style="434" hidden="1"/>
    <col min="12033" max="12033" width="1.5546875" style="434" hidden="1" customWidth="1"/>
    <col min="12034" max="12034" width="0.88671875" style="434" hidden="1" customWidth="1"/>
    <col min="12035" max="12050" width="2.5546875" style="434" hidden="1" customWidth="1"/>
    <col min="12051" max="12051" width="4" style="434" hidden="1" customWidth="1"/>
    <col min="12052" max="12055" width="2.5546875" style="434" hidden="1" customWidth="1"/>
    <col min="12056" max="12056" width="2.44140625" style="434" hidden="1" customWidth="1"/>
    <col min="12057" max="12060" width="2.5546875" style="434" hidden="1" customWidth="1"/>
    <col min="12061" max="12061" width="2.44140625" style="434" hidden="1" customWidth="1"/>
    <col min="12062" max="12065" width="2.5546875" style="434" hidden="1" customWidth="1"/>
    <col min="12066" max="12071" width="2.44140625" style="434" hidden="1" customWidth="1"/>
    <col min="12072" max="12072" width="1.5546875" style="434" hidden="1" customWidth="1"/>
    <col min="12073" max="12288" width="2.5546875" style="434" hidden="1"/>
    <col min="12289" max="12289" width="1.5546875" style="434" hidden="1" customWidth="1"/>
    <col min="12290" max="12290" width="0.88671875" style="434" hidden="1" customWidth="1"/>
    <col min="12291" max="12306" width="2.5546875" style="434" hidden="1" customWidth="1"/>
    <col min="12307" max="12307" width="4" style="434" hidden="1" customWidth="1"/>
    <col min="12308" max="12311" width="2.5546875" style="434" hidden="1" customWidth="1"/>
    <col min="12312" max="12312" width="2.44140625" style="434" hidden="1" customWidth="1"/>
    <col min="12313" max="12316" width="2.5546875" style="434" hidden="1" customWidth="1"/>
    <col min="12317" max="12317" width="2.44140625" style="434" hidden="1" customWidth="1"/>
    <col min="12318" max="12321" width="2.5546875" style="434" hidden="1" customWidth="1"/>
    <col min="12322" max="12327" width="2.44140625" style="434" hidden="1" customWidth="1"/>
    <col min="12328" max="12328" width="1.5546875" style="434" hidden="1" customWidth="1"/>
    <col min="12329" max="12544" width="2.5546875" style="434" hidden="1"/>
    <col min="12545" max="12545" width="1.5546875" style="434" hidden="1" customWidth="1"/>
    <col min="12546" max="12546" width="0.88671875" style="434" hidden="1" customWidth="1"/>
    <col min="12547" max="12562" width="2.5546875" style="434" hidden="1" customWidth="1"/>
    <col min="12563" max="12563" width="4" style="434" hidden="1" customWidth="1"/>
    <col min="12564" max="12567" width="2.5546875" style="434" hidden="1" customWidth="1"/>
    <col min="12568" max="12568" width="2.44140625" style="434" hidden="1" customWidth="1"/>
    <col min="12569" max="12572" width="2.5546875" style="434" hidden="1" customWidth="1"/>
    <col min="12573" max="12573" width="2.44140625" style="434" hidden="1" customWidth="1"/>
    <col min="12574" max="12577" width="2.5546875" style="434" hidden="1" customWidth="1"/>
    <col min="12578" max="12583" width="2.44140625" style="434" hidden="1" customWidth="1"/>
    <col min="12584" max="12584" width="1.5546875" style="434" hidden="1" customWidth="1"/>
    <col min="12585" max="12800" width="2.5546875" style="434" hidden="1"/>
    <col min="12801" max="12801" width="1.5546875" style="434" hidden="1" customWidth="1"/>
    <col min="12802" max="12802" width="0.88671875" style="434" hidden="1" customWidth="1"/>
    <col min="12803" max="12818" width="2.5546875" style="434" hidden="1" customWidth="1"/>
    <col min="12819" max="12819" width="4" style="434" hidden="1" customWidth="1"/>
    <col min="12820" max="12823" width="2.5546875" style="434" hidden="1" customWidth="1"/>
    <col min="12824" max="12824" width="2.44140625" style="434" hidden="1" customWidth="1"/>
    <col min="12825" max="12828" width="2.5546875" style="434" hidden="1" customWidth="1"/>
    <col min="12829" max="12829" width="2.44140625" style="434" hidden="1" customWidth="1"/>
    <col min="12830" max="12833" width="2.5546875" style="434" hidden="1" customWidth="1"/>
    <col min="12834" max="12839" width="2.44140625" style="434" hidden="1" customWidth="1"/>
    <col min="12840" max="12840" width="1.5546875" style="434" hidden="1" customWidth="1"/>
    <col min="12841" max="13056" width="2.5546875" style="434" hidden="1"/>
    <col min="13057" max="13057" width="1.5546875" style="434" hidden="1" customWidth="1"/>
    <col min="13058" max="13058" width="0.88671875" style="434" hidden="1" customWidth="1"/>
    <col min="13059" max="13074" width="2.5546875" style="434" hidden="1" customWidth="1"/>
    <col min="13075" max="13075" width="4" style="434" hidden="1" customWidth="1"/>
    <col min="13076" max="13079" width="2.5546875" style="434" hidden="1" customWidth="1"/>
    <col min="13080" max="13080" width="2.44140625" style="434" hidden="1" customWidth="1"/>
    <col min="13081" max="13084" width="2.5546875" style="434" hidden="1" customWidth="1"/>
    <col min="13085" max="13085" width="2.44140625" style="434" hidden="1" customWidth="1"/>
    <col min="13086" max="13089" width="2.5546875" style="434" hidden="1" customWidth="1"/>
    <col min="13090" max="13095" width="2.44140625" style="434" hidden="1" customWidth="1"/>
    <col min="13096" max="13096" width="1.5546875" style="434" hidden="1" customWidth="1"/>
    <col min="13097" max="13312" width="2.5546875" style="434" hidden="1"/>
    <col min="13313" max="13313" width="1.5546875" style="434" hidden="1" customWidth="1"/>
    <col min="13314" max="13314" width="0.88671875" style="434" hidden="1" customWidth="1"/>
    <col min="13315" max="13330" width="2.5546875" style="434" hidden="1" customWidth="1"/>
    <col min="13331" max="13331" width="4" style="434" hidden="1" customWidth="1"/>
    <col min="13332" max="13335" width="2.5546875" style="434" hidden="1" customWidth="1"/>
    <col min="13336" max="13336" width="2.44140625" style="434" hidden="1" customWidth="1"/>
    <col min="13337" max="13340" width="2.5546875" style="434" hidden="1" customWidth="1"/>
    <col min="13341" max="13341" width="2.44140625" style="434" hidden="1" customWidth="1"/>
    <col min="13342" max="13345" width="2.5546875" style="434" hidden="1" customWidth="1"/>
    <col min="13346" max="13351" width="2.44140625" style="434" hidden="1" customWidth="1"/>
    <col min="13352" max="13352" width="1.5546875" style="434" hidden="1" customWidth="1"/>
    <col min="13353" max="13568" width="2.5546875" style="434" hidden="1"/>
    <col min="13569" max="13569" width="1.5546875" style="434" hidden="1" customWidth="1"/>
    <col min="13570" max="13570" width="0.88671875" style="434" hidden="1" customWidth="1"/>
    <col min="13571" max="13586" width="2.5546875" style="434" hidden="1" customWidth="1"/>
    <col min="13587" max="13587" width="4" style="434" hidden="1" customWidth="1"/>
    <col min="13588" max="13591" width="2.5546875" style="434" hidden="1" customWidth="1"/>
    <col min="13592" max="13592" width="2.44140625" style="434" hidden="1" customWidth="1"/>
    <col min="13593" max="13596" width="2.5546875" style="434" hidden="1" customWidth="1"/>
    <col min="13597" max="13597" width="2.44140625" style="434" hidden="1" customWidth="1"/>
    <col min="13598" max="13601" width="2.5546875" style="434" hidden="1" customWidth="1"/>
    <col min="13602" max="13607" width="2.44140625" style="434" hidden="1" customWidth="1"/>
    <col min="13608" max="13608" width="1.5546875" style="434" hidden="1" customWidth="1"/>
    <col min="13609" max="13824" width="2.5546875" style="434" hidden="1"/>
    <col min="13825" max="13825" width="1.5546875" style="434" hidden="1" customWidth="1"/>
    <col min="13826" max="13826" width="0.88671875" style="434" hidden="1" customWidth="1"/>
    <col min="13827" max="13842" width="2.5546875" style="434" hidden="1" customWidth="1"/>
    <col min="13843" max="13843" width="4" style="434" hidden="1" customWidth="1"/>
    <col min="13844" max="13847" width="2.5546875" style="434" hidden="1" customWidth="1"/>
    <col min="13848" max="13848" width="2.44140625" style="434" hidden="1" customWidth="1"/>
    <col min="13849" max="13852" width="2.5546875" style="434" hidden="1" customWidth="1"/>
    <col min="13853" max="13853" width="2.44140625" style="434" hidden="1" customWidth="1"/>
    <col min="13854" max="13857" width="2.5546875" style="434" hidden="1" customWidth="1"/>
    <col min="13858" max="13863" width="2.44140625" style="434" hidden="1" customWidth="1"/>
    <col min="13864" max="13864" width="1.5546875" style="434" hidden="1" customWidth="1"/>
    <col min="13865" max="14080" width="2.5546875" style="434" hidden="1"/>
    <col min="14081" max="14081" width="1.5546875" style="434" hidden="1" customWidth="1"/>
    <col min="14082" max="14082" width="0.88671875" style="434" hidden="1" customWidth="1"/>
    <col min="14083" max="14098" width="2.5546875" style="434" hidden="1" customWidth="1"/>
    <col min="14099" max="14099" width="4" style="434" hidden="1" customWidth="1"/>
    <col min="14100" max="14103" width="2.5546875" style="434" hidden="1" customWidth="1"/>
    <col min="14104" max="14104" width="2.44140625" style="434" hidden="1" customWidth="1"/>
    <col min="14105" max="14108" width="2.5546875" style="434" hidden="1" customWidth="1"/>
    <col min="14109" max="14109" width="2.44140625" style="434" hidden="1" customWidth="1"/>
    <col min="14110" max="14113" width="2.5546875" style="434" hidden="1" customWidth="1"/>
    <col min="14114" max="14119" width="2.44140625" style="434" hidden="1" customWidth="1"/>
    <col min="14120" max="14120" width="1.5546875" style="434" hidden="1" customWidth="1"/>
    <col min="14121" max="14336" width="2.5546875" style="434" hidden="1"/>
    <col min="14337" max="14337" width="1.5546875" style="434" hidden="1" customWidth="1"/>
    <col min="14338" max="14338" width="0.88671875" style="434" hidden="1" customWidth="1"/>
    <col min="14339" max="14354" width="2.5546875" style="434" hidden="1" customWidth="1"/>
    <col min="14355" max="14355" width="4" style="434" hidden="1" customWidth="1"/>
    <col min="14356" max="14359" width="2.5546875" style="434" hidden="1" customWidth="1"/>
    <col min="14360" max="14360" width="2.44140625" style="434" hidden="1" customWidth="1"/>
    <col min="14361" max="14364" width="2.5546875" style="434" hidden="1" customWidth="1"/>
    <col min="14365" max="14365" width="2.44140625" style="434" hidden="1" customWidth="1"/>
    <col min="14366" max="14369" width="2.5546875" style="434" hidden="1" customWidth="1"/>
    <col min="14370" max="14375" width="2.44140625" style="434" hidden="1" customWidth="1"/>
    <col min="14376" max="14376" width="1.5546875" style="434" hidden="1" customWidth="1"/>
    <col min="14377" max="14592" width="2.5546875" style="434" hidden="1"/>
    <col min="14593" max="14593" width="1.5546875" style="434" hidden="1" customWidth="1"/>
    <col min="14594" max="14594" width="0.88671875" style="434" hidden="1" customWidth="1"/>
    <col min="14595" max="14610" width="2.5546875" style="434" hidden="1" customWidth="1"/>
    <col min="14611" max="14611" width="4" style="434" hidden="1" customWidth="1"/>
    <col min="14612" max="14615" width="2.5546875" style="434" hidden="1" customWidth="1"/>
    <col min="14616" max="14616" width="2.44140625" style="434" hidden="1" customWidth="1"/>
    <col min="14617" max="14620" width="2.5546875" style="434" hidden="1" customWidth="1"/>
    <col min="14621" max="14621" width="2.44140625" style="434" hidden="1" customWidth="1"/>
    <col min="14622" max="14625" width="2.5546875" style="434" hidden="1" customWidth="1"/>
    <col min="14626" max="14631" width="2.44140625" style="434" hidden="1" customWidth="1"/>
    <col min="14632" max="14632" width="1.5546875" style="434" hidden="1" customWidth="1"/>
    <col min="14633" max="14848" width="2.5546875" style="434" hidden="1"/>
    <col min="14849" max="14849" width="1.5546875" style="434" hidden="1" customWidth="1"/>
    <col min="14850" max="14850" width="0.88671875" style="434" hidden="1" customWidth="1"/>
    <col min="14851" max="14866" width="2.5546875" style="434" hidden="1" customWidth="1"/>
    <col min="14867" max="14867" width="4" style="434" hidden="1" customWidth="1"/>
    <col min="14868" max="14871" width="2.5546875" style="434" hidden="1" customWidth="1"/>
    <col min="14872" max="14872" width="2.44140625" style="434" hidden="1" customWidth="1"/>
    <col min="14873" max="14876" width="2.5546875" style="434" hidden="1" customWidth="1"/>
    <col min="14877" max="14877" width="2.44140625" style="434" hidden="1" customWidth="1"/>
    <col min="14878" max="14881" width="2.5546875" style="434" hidden="1" customWidth="1"/>
    <col min="14882" max="14887" width="2.44140625" style="434" hidden="1" customWidth="1"/>
    <col min="14888" max="14888" width="1.5546875" style="434" hidden="1" customWidth="1"/>
    <col min="14889" max="15104" width="2.5546875" style="434" hidden="1"/>
    <col min="15105" max="15105" width="1.5546875" style="434" hidden="1" customWidth="1"/>
    <col min="15106" max="15106" width="0.88671875" style="434" hidden="1" customWidth="1"/>
    <col min="15107" max="15122" width="2.5546875" style="434" hidden="1" customWidth="1"/>
    <col min="15123" max="15123" width="4" style="434" hidden="1" customWidth="1"/>
    <col min="15124" max="15127" width="2.5546875" style="434" hidden="1" customWidth="1"/>
    <col min="15128" max="15128" width="2.44140625" style="434" hidden="1" customWidth="1"/>
    <col min="15129" max="15132" width="2.5546875" style="434" hidden="1" customWidth="1"/>
    <col min="15133" max="15133" width="2.44140625" style="434" hidden="1" customWidth="1"/>
    <col min="15134" max="15137" width="2.5546875" style="434" hidden="1" customWidth="1"/>
    <col min="15138" max="15143" width="2.44140625" style="434" hidden="1" customWidth="1"/>
    <col min="15144" max="15144" width="1.5546875" style="434" hidden="1" customWidth="1"/>
    <col min="15145" max="15360" width="2.5546875" style="434" hidden="1"/>
    <col min="15361" max="15361" width="1.5546875" style="434" hidden="1" customWidth="1"/>
    <col min="15362" max="15362" width="0.88671875" style="434" hidden="1" customWidth="1"/>
    <col min="15363" max="15378" width="2.5546875" style="434" hidden="1" customWidth="1"/>
    <col min="15379" max="15379" width="4" style="434" hidden="1" customWidth="1"/>
    <col min="15380" max="15383" width="2.5546875" style="434" hidden="1" customWidth="1"/>
    <col min="15384" max="15384" width="2.44140625" style="434" hidden="1" customWidth="1"/>
    <col min="15385" max="15388" width="2.5546875" style="434" hidden="1" customWidth="1"/>
    <col min="15389" max="15389" width="2.44140625" style="434" hidden="1" customWidth="1"/>
    <col min="15390" max="15393" width="2.5546875" style="434" hidden="1" customWidth="1"/>
    <col min="15394" max="15399" width="2.44140625" style="434" hidden="1" customWidth="1"/>
    <col min="15400" max="15400" width="1.5546875" style="434" hidden="1" customWidth="1"/>
    <col min="15401" max="15616" width="2.5546875" style="434" hidden="1"/>
    <col min="15617" max="15617" width="1.5546875" style="434" hidden="1" customWidth="1"/>
    <col min="15618" max="15618" width="0.88671875" style="434" hidden="1" customWidth="1"/>
    <col min="15619" max="15634" width="2.5546875" style="434" hidden="1" customWidth="1"/>
    <col min="15635" max="15635" width="4" style="434" hidden="1" customWidth="1"/>
    <col min="15636" max="15639" width="2.5546875" style="434" hidden="1" customWidth="1"/>
    <col min="15640" max="15640" width="2.44140625" style="434" hidden="1" customWidth="1"/>
    <col min="15641" max="15644" width="2.5546875" style="434" hidden="1" customWidth="1"/>
    <col min="15645" max="15645" width="2.44140625" style="434" hidden="1" customWidth="1"/>
    <col min="15646" max="15649" width="2.5546875" style="434" hidden="1" customWidth="1"/>
    <col min="15650" max="15655" width="2.44140625" style="434" hidden="1" customWidth="1"/>
    <col min="15656" max="15656" width="1.5546875" style="434" hidden="1" customWidth="1"/>
    <col min="15657" max="15872" width="2.5546875" style="434" hidden="1"/>
    <col min="15873" max="15873" width="1.5546875" style="434" hidden="1" customWidth="1"/>
    <col min="15874" max="15874" width="0.88671875" style="434" hidden="1" customWidth="1"/>
    <col min="15875" max="15890" width="2.5546875" style="434" hidden="1" customWidth="1"/>
    <col min="15891" max="15891" width="4" style="434" hidden="1" customWidth="1"/>
    <col min="15892" max="15895" width="2.5546875" style="434" hidden="1" customWidth="1"/>
    <col min="15896" max="15896" width="2.44140625" style="434" hidden="1" customWidth="1"/>
    <col min="15897" max="15900" width="2.5546875" style="434" hidden="1" customWidth="1"/>
    <col min="15901" max="15901" width="2.44140625" style="434" hidden="1" customWidth="1"/>
    <col min="15902" max="15905" width="2.5546875" style="434" hidden="1" customWidth="1"/>
    <col min="15906" max="15911" width="2.44140625" style="434" hidden="1" customWidth="1"/>
    <col min="15912" max="15912" width="1.5546875" style="434" hidden="1" customWidth="1"/>
    <col min="15913" max="16128" width="2.5546875" style="434" hidden="1"/>
    <col min="16129" max="16129" width="1.5546875" style="434" hidden="1" customWidth="1"/>
    <col min="16130" max="16130" width="0.88671875" style="434" hidden="1" customWidth="1"/>
    <col min="16131" max="16146" width="2.5546875" style="434" hidden="1" customWidth="1"/>
    <col min="16147" max="16147" width="4" style="434" hidden="1" customWidth="1"/>
    <col min="16148" max="16151" width="2.5546875" style="434" hidden="1" customWidth="1"/>
    <col min="16152" max="16152" width="2.44140625" style="434" hidden="1" customWidth="1"/>
    <col min="16153" max="16156" width="2.5546875" style="434" hidden="1" customWidth="1"/>
    <col min="16157" max="16157" width="2.44140625" style="434" hidden="1" customWidth="1"/>
    <col min="16158" max="16161" width="2.5546875" style="434" hidden="1" customWidth="1"/>
    <col min="16162" max="16167" width="2.44140625" style="434" hidden="1" customWidth="1"/>
    <col min="16168" max="16168" width="1.5546875" style="434" hidden="1" customWidth="1"/>
    <col min="16169" max="16384" width="2.5546875" style="434" hidden="1"/>
  </cols>
  <sheetData>
    <row r="1" spans="1:40" ht="12.9" customHeight="1">
      <c r="A1" s="2496" t="s">
        <v>1443</v>
      </c>
      <c r="B1" s="2496"/>
      <c r="C1" s="2496"/>
      <c r="D1" s="2496"/>
      <c r="E1" s="2496"/>
      <c r="F1" s="2496"/>
      <c r="G1" s="2496"/>
      <c r="H1" s="2496"/>
      <c r="I1" s="2496"/>
      <c r="J1" s="2496"/>
      <c r="K1" s="2496"/>
      <c r="L1" s="2496"/>
      <c r="M1" s="2496"/>
      <c r="N1" s="2496"/>
      <c r="O1" s="2496"/>
      <c r="P1" s="2496"/>
      <c r="Q1" s="2496"/>
      <c r="R1" s="2496"/>
      <c r="S1" s="2496"/>
      <c r="T1" s="2496"/>
      <c r="U1" s="2496"/>
      <c r="V1" s="2496"/>
      <c r="W1" s="2496"/>
      <c r="X1" s="2496"/>
      <c r="Y1" s="2496"/>
      <c r="Z1" s="2496"/>
      <c r="AA1" s="2496"/>
      <c r="AB1" s="2496"/>
      <c r="AC1" s="2496"/>
      <c r="AD1" s="2496"/>
      <c r="AE1" s="2496"/>
      <c r="AF1" s="2496"/>
      <c r="AG1" s="2496"/>
      <c r="AH1" s="2496"/>
      <c r="AI1" s="2496"/>
      <c r="AJ1" s="2496"/>
      <c r="AK1" s="2496"/>
      <c r="AL1" s="2496"/>
      <c r="AM1" s="2496"/>
      <c r="AN1" s="2496"/>
    </row>
    <row r="2" spans="1:40" ht="12.9" customHeight="1" thickBot="1">
      <c r="A2" s="2497"/>
      <c r="B2" s="2497"/>
      <c r="C2" s="2497"/>
      <c r="D2" s="2497"/>
      <c r="E2" s="2497"/>
      <c r="F2" s="2497"/>
      <c r="G2" s="2497"/>
      <c r="H2" s="2497"/>
      <c r="I2" s="2497"/>
      <c r="J2" s="2497"/>
      <c r="K2" s="2497"/>
      <c r="L2" s="2497"/>
      <c r="M2" s="2497"/>
      <c r="N2" s="2497"/>
      <c r="O2" s="2497"/>
      <c r="P2" s="2497"/>
      <c r="Q2" s="2497"/>
      <c r="R2" s="2497"/>
      <c r="S2" s="2497"/>
      <c r="T2" s="2497"/>
      <c r="U2" s="2497"/>
      <c r="V2" s="2497"/>
      <c r="W2" s="2497"/>
      <c r="X2" s="2497"/>
      <c r="Y2" s="2497"/>
      <c r="Z2" s="2497"/>
      <c r="AA2" s="2497"/>
      <c r="AB2" s="2497"/>
      <c r="AC2" s="2497"/>
      <c r="AD2" s="2497"/>
      <c r="AE2" s="2497"/>
      <c r="AF2" s="2497"/>
      <c r="AG2" s="2497"/>
      <c r="AH2" s="2497"/>
      <c r="AI2" s="2497"/>
      <c r="AJ2" s="2497"/>
      <c r="AK2" s="2497"/>
      <c r="AL2" s="2497"/>
      <c r="AM2" s="2497"/>
      <c r="AN2" s="2497"/>
    </row>
    <row r="3" spans="1:40" ht="12.9"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 customHeight="1">
      <c r="A4" s="436"/>
    </row>
    <row r="5" spans="1:40" ht="12.9" customHeight="1">
      <c r="A5" s="436" t="s">
        <v>321</v>
      </c>
      <c r="C5" s="436" t="s">
        <v>123</v>
      </c>
      <c r="F5" s="436"/>
    </row>
    <row r="6" spans="1:40" ht="12.9" customHeight="1">
      <c r="A6" s="436"/>
      <c r="C6" s="434" t="s">
        <v>1384</v>
      </c>
    </row>
    <row r="7" spans="1:40" ht="12.9" customHeight="1">
      <c r="B7" s="437"/>
      <c r="C7" s="438"/>
      <c r="D7" s="438"/>
      <c r="E7" s="438"/>
      <c r="F7" s="438"/>
      <c r="G7" s="438"/>
      <c r="H7" s="438"/>
      <c r="I7" s="438"/>
      <c r="J7" s="438"/>
      <c r="K7" s="438"/>
      <c r="L7" s="438"/>
      <c r="M7" s="438"/>
      <c r="N7" s="438"/>
      <c r="O7" s="438"/>
      <c r="P7" s="438"/>
      <c r="Q7" s="438"/>
      <c r="R7" s="438"/>
      <c r="S7" s="438"/>
      <c r="T7" s="2498" t="str">
        <f xml:space="preserve"> IF(T25=100%,'Sources and Basis Breakdown'!G2,'Sources and Basis Breakdown'!F2)</f>
        <v>30% PVC for New Const/
Rehabilitation
DDA/QCT
Building(s)</v>
      </c>
      <c r="U7" s="2498"/>
      <c r="V7" s="2498"/>
      <c r="W7" s="2498"/>
      <c r="X7" s="2498"/>
      <c r="Y7" s="2498" t="str">
        <f>IF(T25=100%," ",'Sources and Basis Breakdown'!G2)</f>
        <v>30% PVC for New Const/
Rehabilitation
NON-DDA/
NON-QCT Building(s)</v>
      </c>
      <c r="Z7" s="2498"/>
      <c r="AA7" s="2498"/>
      <c r="AB7" s="2498"/>
      <c r="AC7" s="2498"/>
      <c r="AD7" s="2498" t="str">
        <f xml:space="preserve"> IF(T25=100%, 'Sources and Basis Breakdown'!J2,'Sources and Basis Breakdown'!I2)</f>
        <v>30% PVC for Acquisition
DDA/QCT Building(s)</v>
      </c>
      <c r="AE7" s="2498"/>
      <c r="AF7" s="2498"/>
      <c r="AG7" s="2498"/>
      <c r="AH7" s="2498"/>
      <c r="AI7" s="2498" t="str">
        <f>IF(T25=100%," ",'Sources and Basis Breakdown'!J2)</f>
        <v>30% PVC for Acquisition
NON-DDA/
NON-QCT Building(s)</v>
      </c>
      <c r="AJ7" s="2498"/>
      <c r="AK7" s="2498"/>
      <c r="AL7" s="2498"/>
      <c r="AM7" s="2498"/>
    </row>
    <row r="8" spans="1:40" ht="12.9" customHeight="1">
      <c r="B8" s="439"/>
      <c r="T8" s="2498"/>
      <c r="U8" s="2498"/>
      <c r="V8" s="2498"/>
      <c r="W8" s="2498"/>
      <c r="X8" s="2498"/>
      <c r="Y8" s="2498"/>
      <c r="Z8" s="2498"/>
      <c r="AA8" s="2498"/>
      <c r="AB8" s="2498"/>
      <c r="AC8" s="2498"/>
      <c r="AD8" s="2498"/>
      <c r="AE8" s="2498"/>
      <c r="AF8" s="2498"/>
      <c r="AG8" s="2498"/>
      <c r="AH8" s="2498"/>
      <c r="AI8" s="2498"/>
      <c r="AJ8" s="2498"/>
      <c r="AK8" s="2498"/>
      <c r="AL8" s="2498"/>
      <c r="AM8" s="2498"/>
    </row>
    <row r="9" spans="1:40" ht="12.9" customHeight="1">
      <c r="B9" s="439"/>
      <c r="T9" s="2498"/>
      <c r="U9" s="2498"/>
      <c r="V9" s="2498"/>
      <c r="W9" s="2498"/>
      <c r="X9" s="2498"/>
      <c r="Y9" s="2498"/>
      <c r="Z9" s="2498"/>
      <c r="AA9" s="2498"/>
      <c r="AB9" s="2498"/>
      <c r="AC9" s="2498"/>
      <c r="AD9" s="2498"/>
      <c r="AE9" s="2498"/>
      <c r="AF9" s="2498"/>
      <c r="AG9" s="2498"/>
      <c r="AH9" s="2498"/>
      <c r="AI9" s="2498"/>
      <c r="AJ9" s="2498"/>
      <c r="AK9" s="2498"/>
      <c r="AL9" s="2498"/>
      <c r="AM9" s="2498"/>
    </row>
    <row r="10" spans="1:40" ht="12.9" customHeight="1">
      <c r="B10" s="440"/>
      <c r="C10" s="441"/>
      <c r="D10" s="441"/>
      <c r="E10" s="441"/>
      <c r="F10" s="441"/>
      <c r="G10" s="441"/>
      <c r="H10" s="441"/>
      <c r="I10" s="441"/>
      <c r="J10" s="441"/>
      <c r="K10" s="441"/>
      <c r="L10" s="441"/>
      <c r="M10" s="441"/>
      <c r="N10" s="441"/>
      <c r="O10" s="441"/>
      <c r="P10" s="441"/>
      <c r="Q10" s="441"/>
      <c r="R10" s="441"/>
      <c r="S10" s="441"/>
      <c r="T10" s="2498"/>
      <c r="U10" s="2498"/>
      <c r="V10" s="2498"/>
      <c r="W10" s="2498"/>
      <c r="X10" s="2498"/>
      <c r="Y10" s="2498"/>
      <c r="Z10" s="2498"/>
      <c r="AA10" s="2498"/>
      <c r="AB10" s="2498"/>
      <c r="AC10" s="2498"/>
      <c r="AD10" s="2498"/>
      <c r="AE10" s="2498"/>
      <c r="AF10" s="2498"/>
      <c r="AG10" s="2498"/>
      <c r="AH10" s="2498"/>
      <c r="AI10" s="2498"/>
      <c r="AJ10" s="2498"/>
      <c r="AK10" s="2498"/>
      <c r="AL10" s="2498"/>
      <c r="AM10" s="2498"/>
    </row>
    <row r="11" spans="1:40" ht="12.9" customHeight="1">
      <c r="B11" s="2477" t="s">
        <v>377</v>
      </c>
      <c r="C11" s="2478"/>
      <c r="D11" s="2478"/>
      <c r="E11" s="2478"/>
      <c r="F11" s="2478"/>
      <c r="G11" s="2478"/>
      <c r="H11" s="2478"/>
      <c r="I11" s="2478"/>
      <c r="J11" s="2478"/>
      <c r="K11" s="2478"/>
      <c r="L11" s="2478"/>
      <c r="M11" s="2478"/>
      <c r="N11" s="2478"/>
      <c r="O11" s="2478"/>
      <c r="P11" s="2478"/>
      <c r="Q11" s="2478"/>
      <c r="R11" s="2478"/>
      <c r="S11" s="2479"/>
      <c r="T11" s="2499">
        <f>IF('Sources and Basis Breakdown'!F107=0,'Sources and Basis Breakdown'!E107,'Sources and Basis Breakdown'!F107)</f>
        <v>81908175</v>
      </c>
      <c r="U11" s="2500"/>
      <c r="V11" s="2500"/>
      <c r="W11" s="2500"/>
      <c r="X11" s="2500"/>
      <c r="Y11" s="2499">
        <f>IF(Y7=" ",0,IF('Sources and Basis Breakdown'!G107+'Sources and Basis Breakdown'!F107='Sources and Basis Breakdown'!E107,'Sources and Basis Breakdown'!G107,0))</f>
        <v>0</v>
      </c>
      <c r="Z11" s="2500"/>
      <c r="AA11" s="2500"/>
      <c r="AB11" s="2500"/>
      <c r="AC11" s="2500"/>
      <c r="AD11" s="2500">
        <f>IF('Sources and Basis Breakdown'!I107=0,'Sources and Basis Breakdown'!H107,'Sources and Basis Breakdown'!I107)</f>
        <v>0</v>
      </c>
      <c r="AE11" s="2500"/>
      <c r="AF11" s="2500"/>
      <c r="AG11" s="2500"/>
      <c r="AH11" s="2500"/>
      <c r="AI11" s="2500">
        <f>IF(Y7=" ",0,IF('Sources and Basis Breakdown'!I107+'Sources and Basis Breakdown'!J107='Sources and Basis Breakdown'!H107,'Sources and Basis Breakdown'!J107,0))</f>
        <v>0</v>
      </c>
      <c r="AJ11" s="2500"/>
      <c r="AK11" s="2500"/>
      <c r="AL11" s="2500"/>
      <c r="AM11" s="2500"/>
    </row>
    <row r="12" spans="1:40" ht="12.9" customHeight="1">
      <c r="B12" s="2492" t="s">
        <v>507</v>
      </c>
      <c r="C12" s="1282"/>
      <c r="D12" s="1282"/>
      <c r="E12" s="1282"/>
      <c r="F12" s="1282"/>
      <c r="G12" s="1282"/>
      <c r="H12" s="1282"/>
      <c r="I12" s="1282"/>
      <c r="J12" s="1282"/>
      <c r="K12" s="1282"/>
      <c r="L12" s="1282"/>
      <c r="M12" s="1282"/>
      <c r="N12" s="1282"/>
      <c r="O12" s="1282"/>
      <c r="P12" s="1282"/>
      <c r="Q12" s="1282"/>
      <c r="R12" s="1282"/>
      <c r="S12" s="2493"/>
      <c r="T12" s="2465"/>
      <c r="U12" s="2466"/>
      <c r="V12" s="2466"/>
      <c r="W12" s="2466"/>
      <c r="X12" s="2467"/>
      <c r="Y12" s="2465"/>
      <c r="Z12" s="2466"/>
      <c r="AA12" s="2466"/>
      <c r="AB12" s="2466"/>
      <c r="AC12" s="2467"/>
      <c r="AD12" s="2465"/>
      <c r="AE12" s="2466"/>
      <c r="AF12" s="2466"/>
      <c r="AG12" s="2466"/>
      <c r="AH12" s="2467"/>
      <c r="AI12" s="2465"/>
      <c r="AJ12" s="2466"/>
      <c r="AK12" s="2466"/>
      <c r="AL12" s="2466"/>
      <c r="AM12" s="2467"/>
    </row>
    <row r="13" spans="1:40" ht="12.9" customHeight="1">
      <c r="B13" s="468"/>
      <c r="C13" s="2494" t="s">
        <v>508</v>
      </c>
      <c r="D13" s="2494"/>
      <c r="E13" s="2494"/>
      <c r="F13" s="2494"/>
      <c r="G13" s="2494"/>
      <c r="H13" s="2494"/>
      <c r="I13" s="2494"/>
      <c r="J13" s="2494"/>
      <c r="K13" s="2494"/>
      <c r="L13" s="2494"/>
      <c r="M13" s="2494"/>
      <c r="N13" s="2494"/>
      <c r="O13" s="2494"/>
      <c r="P13" s="2494"/>
      <c r="Q13" s="2494"/>
      <c r="R13" s="2494"/>
      <c r="S13" s="2495"/>
      <c r="T13" s="2501"/>
      <c r="U13" s="2502"/>
      <c r="V13" s="2502"/>
      <c r="W13" s="2502"/>
      <c r="X13" s="2502"/>
      <c r="Y13" s="2501"/>
      <c r="Z13" s="2502"/>
      <c r="AA13" s="2502"/>
      <c r="AB13" s="2502"/>
      <c r="AC13" s="2502"/>
      <c r="AD13" s="2502"/>
      <c r="AE13" s="2502"/>
      <c r="AF13" s="2502"/>
      <c r="AG13" s="2502"/>
      <c r="AH13" s="2502"/>
      <c r="AI13" s="2502"/>
      <c r="AJ13" s="2502"/>
      <c r="AK13" s="2502"/>
      <c r="AL13" s="2502"/>
      <c r="AM13" s="2502"/>
    </row>
    <row r="14" spans="1:40" ht="12.9" customHeight="1">
      <c r="B14" s="468"/>
      <c r="C14" s="2494" t="s">
        <v>509</v>
      </c>
      <c r="D14" s="2494"/>
      <c r="E14" s="2494"/>
      <c r="F14" s="2494"/>
      <c r="G14" s="2494"/>
      <c r="H14" s="2494"/>
      <c r="I14" s="2494"/>
      <c r="J14" s="2494"/>
      <c r="K14" s="2494"/>
      <c r="L14" s="2494"/>
      <c r="M14" s="2494"/>
      <c r="N14" s="2494"/>
      <c r="O14" s="2494"/>
      <c r="P14" s="2494"/>
      <c r="Q14" s="2494"/>
      <c r="R14" s="2494"/>
      <c r="S14" s="2495"/>
      <c r="T14" s="2468"/>
      <c r="U14" s="2469"/>
      <c r="V14" s="2469"/>
      <c r="W14" s="2469"/>
      <c r="X14" s="2469"/>
      <c r="Y14" s="2468"/>
      <c r="Z14" s="2469"/>
      <c r="AA14" s="2469"/>
      <c r="AB14" s="2469"/>
      <c r="AC14" s="2469"/>
      <c r="AD14" s="2469"/>
      <c r="AE14" s="2469"/>
      <c r="AF14" s="2469"/>
      <c r="AG14" s="2469"/>
      <c r="AH14" s="2469"/>
      <c r="AI14" s="2469"/>
      <c r="AJ14" s="2469"/>
      <c r="AK14" s="2469"/>
      <c r="AL14" s="2469"/>
      <c r="AM14" s="2469"/>
    </row>
    <row r="15" spans="1:40" ht="12.9" customHeight="1">
      <c r="B15" s="468"/>
      <c r="C15" s="2494" t="s">
        <v>510</v>
      </c>
      <c r="D15" s="2494"/>
      <c r="E15" s="2494"/>
      <c r="F15" s="2494"/>
      <c r="G15" s="2494"/>
      <c r="H15" s="2494"/>
      <c r="I15" s="2494"/>
      <c r="J15" s="2494"/>
      <c r="K15" s="2494"/>
      <c r="L15" s="2494"/>
      <c r="M15" s="2494"/>
      <c r="N15" s="2494"/>
      <c r="O15" s="2494"/>
      <c r="P15" s="2494"/>
      <c r="Q15" s="2494"/>
      <c r="R15" s="2494"/>
      <c r="S15" s="2495"/>
      <c r="T15" s="2468"/>
      <c r="U15" s="2469"/>
      <c r="V15" s="2469"/>
      <c r="W15" s="2469"/>
      <c r="X15" s="2469"/>
      <c r="Y15" s="2468"/>
      <c r="Z15" s="2469"/>
      <c r="AA15" s="2469"/>
      <c r="AB15" s="2469"/>
      <c r="AC15" s="2469"/>
      <c r="AD15" s="2469"/>
      <c r="AE15" s="2469"/>
      <c r="AF15" s="2469"/>
      <c r="AG15" s="2469"/>
      <c r="AH15" s="2469"/>
      <c r="AI15" s="2469"/>
      <c r="AJ15" s="2469"/>
      <c r="AK15" s="2469"/>
      <c r="AL15" s="2469"/>
      <c r="AM15" s="2469"/>
    </row>
    <row r="16" spans="1:40" ht="12.9" customHeight="1">
      <c r="B16" s="468"/>
      <c r="C16" s="2494" t="s">
        <v>831</v>
      </c>
      <c r="D16" s="2494"/>
      <c r="E16" s="2494"/>
      <c r="F16" s="2494"/>
      <c r="G16" s="2494"/>
      <c r="H16" s="2494"/>
      <c r="I16" s="2494"/>
      <c r="J16" s="2494"/>
      <c r="K16" s="2494"/>
      <c r="L16" s="2494"/>
      <c r="M16" s="2494"/>
      <c r="N16" s="2494"/>
      <c r="O16" s="2494"/>
      <c r="P16" s="2494"/>
      <c r="Q16" s="2494"/>
      <c r="R16" s="2494"/>
      <c r="S16" s="2495"/>
      <c r="T16" s="2468"/>
      <c r="U16" s="2469"/>
      <c r="V16" s="2469"/>
      <c r="W16" s="2469"/>
      <c r="X16" s="2469"/>
      <c r="Y16" s="2468"/>
      <c r="Z16" s="2469"/>
      <c r="AA16" s="2469"/>
      <c r="AB16" s="2469"/>
      <c r="AC16" s="2469"/>
      <c r="AD16" s="2469"/>
      <c r="AE16" s="2469"/>
      <c r="AF16" s="2469"/>
      <c r="AG16" s="2469"/>
      <c r="AH16" s="2469"/>
      <c r="AI16" s="2469"/>
      <c r="AJ16" s="2469"/>
      <c r="AK16" s="2469"/>
      <c r="AL16" s="2469"/>
      <c r="AM16" s="2469"/>
    </row>
    <row r="17" spans="1:40" ht="12.9" customHeight="1">
      <c r="B17" s="468"/>
      <c r="C17" s="2494" t="s">
        <v>511</v>
      </c>
      <c r="D17" s="2494"/>
      <c r="E17" s="2494"/>
      <c r="F17" s="2494"/>
      <c r="G17" s="2494"/>
      <c r="H17" s="2494"/>
      <c r="I17" s="2494"/>
      <c r="J17" s="2494"/>
      <c r="K17" s="2494"/>
      <c r="L17" s="2494"/>
      <c r="M17" s="2494"/>
      <c r="N17" s="2494"/>
      <c r="O17" s="2494"/>
      <c r="P17" s="2494"/>
      <c r="Q17" s="2494"/>
      <c r="R17" s="2494"/>
      <c r="S17" s="2495"/>
      <c r="T17" s="2468"/>
      <c r="U17" s="2469"/>
      <c r="V17" s="2469"/>
      <c r="W17" s="2469"/>
      <c r="X17" s="2469"/>
      <c r="Y17" s="2468"/>
      <c r="Z17" s="2469"/>
      <c r="AA17" s="2469"/>
      <c r="AB17" s="2469"/>
      <c r="AC17" s="2469"/>
      <c r="AD17" s="2469"/>
      <c r="AE17" s="2469"/>
      <c r="AF17" s="2469"/>
      <c r="AG17" s="2469"/>
      <c r="AH17" s="2469"/>
      <c r="AI17" s="2469"/>
      <c r="AJ17" s="2469"/>
      <c r="AK17" s="2469"/>
      <c r="AL17" s="2469"/>
      <c r="AM17" s="2469"/>
    </row>
    <row r="18" spans="1:40" ht="12.9" customHeight="1">
      <c r="A18"/>
      <c r="B18" s="1203"/>
      <c r="C18" s="1665" t="s">
        <v>1000</v>
      </c>
      <c r="D18" s="1665"/>
      <c r="E18" s="1665"/>
      <c r="F18" s="1665"/>
      <c r="G18" s="1665"/>
      <c r="H18" s="1665"/>
      <c r="I18" s="1665"/>
      <c r="J18" s="1665"/>
      <c r="K18" s="1665"/>
      <c r="L18" s="1665"/>
      <c r="M18" s="1665"/>
      <c r="N18" s="1665"/>
      <c r="O18" s="1665"/>
      <c r="P18" s="1665"/>
      <c r="Q18" s="1665"/>
      <c r="R18" s="1665"/>
      <c r="S18" s="1666"/>
      <c r="T18" s="2468"/>
      <c r="U18" s="2469"/>
      <c r="V18" s="2469"/>
      <c r="W18" s="2469"/>
      <c r="X18" s="2469"/>
      <c r="Y18" s="2468"/>
      <c r="Z18" s="2469"/>
      <c r="AA18" s="2469"/>
      <c r="AB18" s="2469"/>
      <c r="AC18" s="2469"/>
      <c r="AD18" s="2469"/>
      <c r="AE18" s="2469"/>
      <c r="AF18" s="2469"/>
      <c r="AG18" s="2469"/>
      <c r="AH18" s="2469"/>
      <c r="AI18" s="2469"/>
      <c r="AJ18" s="2469"/>
      <c r="AK18" s="2469"/>
      <c r="AL18" s="2469"/>
      <c r="AM18" s="2469"/>
    </row>
    <row r="19" spans="1:40" ht="12.9" customHeight="1">
      <c r="B19" s="1203"/>
      <c r="C19" s="1665" t="s">
        <v>1000</v>
      </c>
      <c r="D19" s="1665"/>
      <c r="E19" s="1665"/>
      <c r="F19" s="1665"/>
      <c r="G19" s="1665"/>
      <c r="H19" s="1665"/>
      <c r="I19" s="1665"/>
      <c r="J19" s="1665"/>
      <c r="K19" s="1665"/>
      <c r="L19" s="1665"/>
      <c r="M19" s="1665"/>
      <c r="N19" s="1665"/>
      <c r="O19" s="1665"/>
      <c r="P19" s="1665"/>
      <c r="Q19" s="1665"/>
      <c r="R19" s="1665"/>
      <c r="S19" s="1666"/>
      <c r="T19" s="2468"/>
      <c r="U19" s="2469"/>
      <c r="V19" s="2469"/>
      <c r="W19" s="2469"/>
      <c r="X19" s="2469"/>
      <c r="Y19" s="2468"/>
      <c r="Z19" s="2469"/>
      <c r="AA19" s="2469"/>
      <c r="AB19" s="2469"/>
      <c r="AC19" s="2469"/>
      <c r="AD19" s="2469"/>
      <c r="AE19" s="2469"/>
      <c r="AF19" s="2469"/>
      <c r="AG19" s="2469"/>
      <c r="AH19" s="2469"/>
      <c r="AI19" s="2469"/>
      <c r="AJ19" s="2469"/>
      <c r="AK19" s="2469"/>
      <c r="AL19" s="2469"/>
      <c r="AM19" s="2469"/>
    </row>
    <row r="20" spans="1:40" ht="12.9" customHeight="1">
      <c r="B20" s="2477" t="s">
        <v>512</v>
      </c>
      <c r="C20" s="2478"/>
      <c r="D20" s="2478"/>
      <c r="E20" s="2478"/>
      <c r="F20" s="2478"/>
      <c r="G20" s="2478"/>
      <c r="H20" s="2478"/>
      <c r="I20" s="2478"/>
      <c r="J20" s="2478"/>
      <c r="K20" s="2478"/>
      <c r="L20" s="2478"/>
      <c r="M20" s="2478"/>
      <c r="N20" s="2478"/>
      <c r="O20" s="2478"/>
      <c r="P20" s="2478"/>
      <c r="Q20" s="2478"/>
      <c r="R20" s="2478"/>
      <c r="S20" s="2479"/>
      <c r="T20" s="2470">
        <f>SUM(T13:X19)</f>
        <v>0</v>
      </c>
      <c r="U20" s="2471"/>
      <c r="V20" s="2471"/>
      <c r="W20" s="2471"/>
      <c r="X20" s="2471"/>
      <c r="Y20" s="2470">
        <f>SUM(Y13:AC19)</f>
        <v>0</v>
      </c>
      <c r="Z20" s="2471"/>
      <c r="AA20" s="2471"/>
      <c r="AB20" s="2471"/>
      <c r="AC20" s="2471"/>
      <c r="AD20" s="2472">
        <f>SUM(AD13:AH19)</f>
        <v>0</v>
      </c>
      <c r="AE20" s="2473"/>
      <c r="AF20" s="2473"/>
      <c r="AG20" s="2473"/>
      <c r="AH20" s="2470"/>
      <c r="AI20" s="2472">
        <f>SUM(AI13:AM19)</f>
        <v>0</v>
      </c>
      <c r="AJ20" s="2473"/>
      <c r="AK20" s="2473"/>
      <c r="AL20" s="2473"/>
      <c r="AM20" s="2470"/>
    </row>
    <row r="21" spans="1:40" ht="12.9" customHeight="1">
      <c r="B21" s="2477" t="s">
        <v>1420</v>
      </c>
      <c r="C21" s="2478"/>
      <c r="D21" s="2478"/>
      <c r="E21" s="2478"/>
      <c r="F21" s="2478"/>
      <c r="G21" s="2478"/>
      <c r="H21" s="2478"/>
      <c r="I21" s="2478"/>
      <c r="J21" s="2478"/>
      <c r="K21" s="2478"/>
      <c r="L21" s="2478"/>
      <c r="M21" s="2478"/>
      <c r="N21" s="2478"/>
      <c r="O21" s="2478"/>
      <c r="P21" s="2478"/>
      <c r="Q21" s="2478"/>
      <c r="R21" s="2478"/>
      <c r="S21" s="2479"/>
      <c r="T21" s="2468"/>
      <c r="U21" s="2469"/>
      <c r="V21" s="2469"/>
      <c r="W21" s="2469"/>
      <c r="X21" s="2469"/>
      <c r="Y21" s="2468"/>
      <c r="Z21" s="2469"/>
      <c r="AA21" s="2469"/>
      <c r="AB21" s="2469"/>
      <c r="AC21" s="2469"/>
      <c r="AD21" s="2465"/>
      <c r="AE21" s="2466"/>
      <c r="AF21" s="2466"/>
      <c r="AG21" s="2466"/>
      <c r="AH21" s="2467"/>
      <c r="AI21" s="2465"/>
      <c r="AJ21" s="2466"/>
      <c r="AK21" s="2466"/>
      <c r="AL21" s="2466"/>
      <c r="AM21" s="2467"/>
    </row>
    <row r="22" spans="1:40" ht="12.9" customHeight="1">
      <c r="B22" s="2477" t="s">
        <v>513</v>
      </c>
      <c r="C22" s="2478"/>
      <c r="D22" s="2478"/>
      <c r="E22" s="2478"/>
      <c r="F22" s="2478"/>
      <c r="G22" s="2478"/>
      <c r="H22" s="2478"/>
      <c r="I22" s="2478"/>
      <c r="J22" s="2478"/>
      <c r="K22" s="2478"/>
      <c r="L22" s="2478"/>
      <c r="M22" s="2478"/>
      <c r="N22" s="2478"/>
      <c r="O22" s="2478"/>
      <c r="P22" s="2478"/>
      <c r="Q22" s="2478"/>
      <c r="R22" s="2478"/>
      <c r="S22" s="2479"/>
      <c r="T22" s="2503">
        <f>(ABS(T20)+ABS(T21))*-1</f>
        <v>0</v>
      </c>
      <c r="U22" s="2504"/>
      <c r="V22" s="2504"/>
      <c r="W22" s="2504"/>
      <c r="X22" s="2504"/>
      <c r="Y22" s="2503">
        <f>(Y20+Y21)*-1</f>
        <v>0</v>
      </c>
      <c r="Z22" s="2504"/>
      <c r="AA22" s="2504"/>
      <c r="AB22" s="2504"/>
      <c r="AC22" s="2504"/>
      <c r="AD22" s="2505">
        <f>(AD20)*-1</f>
        <v>0</v>
      </c>
      <c r="AE22" s="2506"/>
      <c r="AF22" s="2506"/>
      <c r="AG22" s="2506"/>
      <c r="AH22" s="2503"/>
      <c r="AI22" s="2505">
        <f>(AI20)*-1</f>
        <v>0</v>
      </c>
      <c r="AJ22" s="2506"/>
      <c r="AK22" s="2506"/>
      <c r="AL22" s="2506"/>
      <c r="AM22" s="2503"/>
    </row>
    <row r="23" spans="1:40" ht="12.9" customHeight="1">
      <c r="B23" s="2477" t="s">
        <v>514</v>
      </c>
      <c r="C23" s="2478"/>
      <c r="D23" s="2478"/>
      <c r="E23" s="2478"/>
      <c r="F23" s="2478"/>
      <c r="G23" s="2478"/>
      <c r="H23" s="2478"/>
      <c r="I23" s="2478"/>
      <c r="J23" s="2478"/>
      <c r="K23" s="2478"/>
      <c r="L23" s="2478"/>
      <c r="M23" s="2478"/>
      <c r="N23" s="2478"/>
      <c r="O23" s="2478"/>
      <c r="P23" s="2478"/>
      <c r="Q23" s="2478"/>
      <c r="R23" s="2478"/>
      <c r="S23" s="2479"/>
      <c r="T23" s="2470">
        <f>T11+T22</f>
        <v>81908175</v>
      </c>
      <c r="U23" s="2471"/>
      <c r="V23" s="2471"/>
      <c r="W23" s="2471"/>
      <c r="X23" s="2471"/>
      <c r="Y23" s="2470">
        <f>Y11+Y22</f>
        <v>0</v>
      </c>
      <c r="Z23" s="2471"/>
      <c r="AA23" s="2471"/>
      <c r="AB23" s="2471"/>
      <c r="AC23" s="2471"/>
      <c r="AD23" s="2470">
        <f>AD11+AD22</f>
        <v>0</v>
      </c>
      <c r="AE23" s="2471"/>
      <c r="AF23" s="2471"/>
      <c r="AG23" s="2471"/>
      <c r="AH23" s="2471"/>
      <c r="AI23" s="2470">
        <f>AI11+AI22</f>
        <v>0</v>
      </c>
      <c r="AJ23" s="2471"/>
      <c r="AK23" s="2471"/>
      <c r="AL23" s="2471"/>
      <c r="AM23" s="2471"/>
    </row>
    <row r="24" spans="1:40" ht="12.9" customHeight="1">
      <c r="B24" s="2477" t="s">
        <v>1001</v>
      </c>
      <c r="C24" s="2478"/>
      <c r="D24" s="2478"/>
      <c r="E24" s="2478"/>
      <c r="F24" s="2478"/>
      <c r="G24" s="2478"/>
      <c r="H24" s="2478"/>
      <c r="I24" s="2478"/>
      <c r="J24" s="2478"/>
      <c r="K24" s="2478"/>
      <c r="L24" s="2478"/>
      <c r="M24" s="2478"/>
      <c r="N24" s="2478"/>
      <c r="O24" s="2478"/>
      <c r="P24" s="2478"/>
      <c r="Q24" s="2478"/>
      <c r="R24" s="2478"/>
      <c r="S24" s="2479"/>
      <c r="T24" s="2472">
        <f>Application!AJ1018</f>
        <v>175869771.5</v>
      </c>
      <c r="U24" s="2473"/>
      <c r="V24" s="2473"/>
      <c r="W24" s="2473"/>
      <c r="X24" s="2473"/>
      <c r="Y24" s="2473"/>
      <c r="Z24" s="2473"/>
      <c r="AA24" s="2473"/>
      <c r="AB24" s="2473"/>
      <c r="AC24" s="2473"/>
      <c r="AD24" s="2473"/>
      <c r="AE24" s="2473"/>
      <c r="AF24" s="2473"/>
      <c r="AG24" s="2473"/>
      <c r="AH24" s="2473"/>
      <c r="AI24" s="2473"/>
      <c r="AJ24" s="2473"/>
      <c r="AK24" s="2473"/>
      <c r="AL24" s="2473"/>
      <c r="AM24" s="2470"/>
    </row>
    <row r="25" spans="1:40" ht="12.9" customHeight="1">
      <c r="B25" s="2481" t="s">
        <v>1421</v>
      </c>
      <c r="C25" s="2482"/>
      <c r="D25" s="2482"/>
      <c r="E25" s="2482"/>
      <c r="F25" s="2482"/>
      <c r="G25" s="2482"/>
      <c r="H25" s="2482"/>
      <c r="I25" s="2482"/>
      <c r="J25" s="2482"/>
      <c r="K25" s="2482"/>
      <c r="L25" s="2482"/>
      <c r="M25" s="2482"/>
      <c r="N25" s="2482"/>
      <c r="O25" s="2482"/>
      <c r="P25" s="2482"/>
      <c r="Q25" s="2482"/>
      <c r="R25" s="2482"/>
      <c r="S25" s="2483"/>
      <c r="T25" s="2507">
        <f>IF(OR(Application!T195="yes",Application!T194="yes"),1.3,1)</f>
        <v>1.3</v>
      </c>
      <c r="U25" s="2508"/>
      <c r="V25" s="2508"/>
      <c r="W25" s="2508"/>
      <c r="X25" s="2508"/>
      <c r="Y25" s="2507">
        <v>1</v>
      </c>
      <c r="Z25" s="2508"/>
      <c r="AA25" s="2508"/>
      <c r="AB25" s="2508"/>
      <c r="AC25" s="2508"/>
      <c r="AD25" s="2507">
        <v>1</v>
      </c>
      <c r="AE25" s="2508"/>
      <c r="AF25" s="2508"/>
      <c r="AG25" s="2508"/>
      <c r="AH25" s="2509"/>
      <c r="AI25" s="2507">
        <v>1</v>
      </c>
      <c r="AJ25" s="2508"/>
      <c r="AK25" s="2508"/>
      <c r="AL25" s="2508"/>
      <c r="AM25" s="2509"/>
    </row>
    <row r="26" spans="1:40" ht="12.9" customHeight="1">
      <c r="B26" s="2477" t="s">
        <v>515</v>
      </c>
      <c r="C26" s="2478"/>
      <c r="D26" s="2478"/>
      <c r="E26" s="2478"/>
      <c r="F26" s="2478"/>
      <c r="G26" s="2478"/>
      <c r="H26" s="2478"/>
      <c r="I26" s="2478"/>
      <c r="J26" s="2478"/>
      <c r="K26" s="2478"/>
      <c r="L26" s="2478"/>
      <c r="M26" s="2478"/>
      <c r="N26" s="2478"/>
      <c r="O26" s="2478"/>
      <c r="P26" s="2478"/>
      <c r="Q26" s="2478"/>
      <c r="R26" s="2478"/>
      <c r="S26" s="2479"/>
      <c r="T26" s="2470">
        <f>T23*T25</f>
        <v>106480627.5</v>
      </c>
      <c r="U26" s="2471"/>
      <c r="V26" s="2471"/>
      <c r="W26" s="2471"/>
      <c r="X26" s="2471"/>
      <c r="Y26" s="2470">
        <f>Y23*Y25</f>
        <v>0</v>
      </c>
      <c r="Z26" s="2471"/>
      <c r="AA26" s="2471"/>
      <c r="AB26" s="2471"/>
      <c r="AC26" s="2471"/>
      <c r="AD26" s="2470">
        <f>AD23*AD25</f>
        <v>0</v>
      </c>
      <c r="AE26" s="2471"/>
      <c r="AF26" s="2471"/>
      <c r="AG26" s="2471"/>
      <c r="AH26" s="2471"/>
      <c r="AI26" s="2470">
        <f>AI23*AI25</f>
        <v>0</v>
      </c>
      <c r="AJ26" s="2471"/>
      <c r="AK26" s="2471"/>
      <c r="AL26" s="2471"/>
      <c r="AM26" s="2471"/>
    </row>
    <row r="27" spans="1:40" ht="12.9" customHeight="1">
      <c r="A27" s="442"/>
      <c r="B27" s="2484" t="s">
        <v>428</v>
      </c>
      <c r="C27" s="2485"/>
      <c r="D27" s="2485"/>
      <c r="E27" s="2485"/>
      <c r="F27" s="2485"/>
      <c r="G27" s="2485"/>
      <c r="H27" s="2485"/>
      <c r="I27" s="2485"/>
      <c r="J27" s="2485"/>
      <c r="K27" s="2485"/>
      <c r="L27" s="2485"/>
      <c r="M27" s="2485"/>
      <c r="N27" s="2485"/>
      <c r="O27" s="2485"/>
      <c r="P27" s="2485"/>
      <c r="Q27" s="2485"/>
      <c r="R27" s="2485"/>
      <c r="S27" s="2486"/>
      <c r="T27" s="2490">
        <f>Application!$AG$444</f>
        <v>1</v>
      </c>
      <c r="U27" s="2491"/>
      <c r="V27" s="2491"/>
      <c r="W27" s="2491"/>
      <c r="X27" s="2491"/>
      <c r="Y27" s="2490">
        <f>Application!$AG$444</f>
        <v>1</v>
      </c>
      <c r="Z27" s="2491"/>
      <c r="AA27" s="2491"/>
      <c r="AB27" s="2491"/>
      <c r="AC27" s="2491"/>
      <c r="AD27" s="2490">
        <f>Application!$AG$444</f>
        <v>1</v>
      </c>
      <c r="AE27" s="2491"/>
      <c r="AF27" s="2491"/>
      <c r="AG27" s="2491"/>
      <c r="AH27" s="2491"/>
      <c r="AI27" s="2490">
        <f>Application!$AG$444</f>
        <v>1</v>
      </c>
      <c r="AJ27" s="2491"/>
      <c r="AK27" s="2491"/>
      <c r="AL27" s="2491"/>
      <c r="AM27" s="2491"/>
    </row>
    <row r="28" spans="1:40" ht="12.9" customHeight="1">
      <c r="A28" s="436"/>
      <c r="B28" s="2477" t="s">
        <v>516</v>
      </c>
      <c r="C28" s="2478"/>
      <c r="D28" s="2478"/>
      <c r="E28" s="2478"/>
      <c r="F28" s="2478"/>
      <c r="G28" s="2478"/>
      <c r="H28" s="2478"/>
      <c r="I28" s="2478"/>
      <c r="J28" s="2478"/>
      <c r="K28" s="2478"/>
      <c r="L28" s="2478"/>
      <c r="M28" s="2478"/>
      <c r="N28" s="2478"/>
      <c r="O28" s="2478"/>
      <c r="P28" s="2478"/>
      <c r="Q28" s="2478"/>
      <c r="R28" s="2478"/>
      <c r="S28" s="2479"/>
      <c r="T28" s="2470">
        <f>IF(ISERROR((T26*T27)),0,(T26*T27))</f>
        <v>106480627.5</v>
      </c>
      <c r="U28" s="2471"/>
      <c r="V28" s="2471"/>
      <c r="W28" s="2471"/>
      <c r="X28" s="2471"/>
      <c r="Y28" s="2470">
        <f>IF(ISERROR((Y26*Y27)),0,(Y26*Y27))</f>
        <v>0</v>
      </c>
      <c r="Z28" s="2471"/>
      <c r="AA28" s="2471"/>
      <c r="AB28" s="2471"/>
      <c r="AC28" s="2471"/>
      <c r="AD28" s="2470">
        <f>IF(ISERROR((AD26*AD27)),0,(AD26*AD27))</f>
        <v>0</v>
      </c>
      <c r="AE28" s="2471"/>
      <c r="AF28" s="2471"/>
      <c r="AG28" s="2471"/>
      <c r="AH28" s="2471"/>
      <c r="AI28" s="2470">
        <f>IF(ISERROR((AI26*AI27)),0,(AI26*AI27))</f>
        <v>0</v>
      </c>
      <c r="AJ28" s="2471"/>
      <c r="AK28" s="2471"/>
      <c r="AL28" s="2471"/>
      <c r="AM28" s="2471"/>
    </row>
    <row r="29" spans="1:40" ht="12.9" customHeight="1">
      <c r="B29" s="2477" t="s">
        <v>533</v>
      </c>
      <c r="C29" s="2478"/>
      <c r="D29" s="2478"/>
      <c r="E29" s="2478"/>
      <c r="F29" s="2478"/>
      <c r="G29" s="2478"/>
      <c r="H29" s="2478"/>
      <c r="I29" s="2478"/>
      <c r="J29" s="2478"/>
      <c r="K29" s="2478"/>
      <c r="L29" s="2478"/>
      <c r="M29" s="2478"/>
      <c r="N29" s="2478"/>
      <c r="O29" s="2478"/>
      <c r="P29" s="2478"/>
      <c r="Q29" s="2478"/>
      <c r="R29" s="2478"/>
      <c r="S29" s="2479"/>
      <c r="T29" s="2472">
        <f>T28+Y28+AD28+AI28</f>
        <v>106480627.5</v>
      </c>
      <c r="U29" s="2473"/>
      <c r="V29" s="2473"/>
      <c r="W29" s="2473"/>
      <c r="X29" s="2473"/>
      <c r="Y29" s="2473"/>
      <c r="Z29" s="2473"/>
      <c r="AA29" s="2473"/>
      <c r="AB29" s="2473"/>
      <c r="AC29" s="2473"/>
      <c r="AD29" s="2473"/>
      <c r="AE29" s="2473"/>
      <c r="AF29" s="2473"/>
      <c r="AG29" s="2473"/>
      <c r="AH29" s="2473"/>
      <c r="AI29" s="2473"/>
      <c r="AJ29" s="2473"/>
      <c r="AK29" s="2473"/>
      <c r="AL29" s="2473"/>
      <c r="AM29" s="2470"/>
    </row>
    <row r="30" spans="1:40" ht="12.9" customHeight="1">
      <c r="B30" s="2480" t="s">
        <v>1423</v>
      </c>
      <c r="C30" s="2480"/>
      <c r="D30" s="2480"/>
      <c r="E30" s="2480"/>
      <c r="F30" s="2480"/>
      <c r="G30" s="2480"/>
      <c r="H30" s="2480"/>
      <c r="I30" s="2480"/>
      <c r="J30" s="2480"/>
      <c r="K30" s="2480"/>
      <c r="L30" s="2480"/>
      <c r="M30" s="2480"/>
      <c r="N30" s="2480"/>
      <c r="O30" s="2480"/>
      <c r="P30" s="2480"/>
      <c r="Q30" s="2480"/>
      <c r="R30" s="2480"/>
      <c r="S30" s="2480"/>
      <c r="T30" s="2480"/>
      <c r="U30" s="2480"/>
      <c r="V30" s="2480"/>
      <c r="W30" s="2480"/>
      <c r="X30" s="2480"/>
      <c r="Y30" s="2480"/>
      <c r="Z30" s="2480"/>
      <c r="AA30" s="2480"/>
      <c r="AB30" s="2480"/>
      <c r="AC30" s="2480"/>
      <c r="AD30" s="2480"/>
      <c r="AE30" s="2480"/>
      <c r="AF30" s="2480"/>
      <c r="AG30" s="2480"/>
      <c r="AH30" s="2480"/>
      <c r="AI30" s="2480"/>
      <c r="AJ30" s="2480"/>
      <c r="AK30" s="2480"/>
      <c r="AL30" s="2480"/>
      <c r="AM30" s="2480"/>
    </row>
    <row r="31" spans="1:40" ht="12.9" customHeight="1">
      <c r="B31" s="2480" t="s">
        <v>1422</v>
      </c>
      <c r="C31" s="2480"/>
      <c r="D31" s="2480"/>
      <c r="E31" s="2480"/>
      <c r="F31" s="2480"/>
      <c r="G31" s="2480"/>
      <c r="H31" s="2480"/>
      <c r="I31" s="2480"/>
      <c r="J31" s="2480"/>
      <c r="K31" s="2480"/>
      <c r="L31" s="2480"/>
      <c r="M31" s="2480"/>
      <c r="N31" s="2480"/>
      <c r="O31" s="2480"/>
      <c r="P31" s="2480"/>
      <c r="Q31" s="2480"/>
      <c r="R31" s="2480"/>
      <c r="S31" s="2480"/>
      <c r="T31" s="2480"/>
      <c r="U31" s="2480"/>
      <c r="V31" s="2480"/>
      <c r="W31" s="2480"/>
      <c r="X31" s="2480"/>
      <c r="Y31" s="2480"/>
      <c r="Z31" s="2480"/>
      <c r="AA31" s="2480"/>
      <c r="AB31" s="2480"/>
      <c r="AC31" s="2480"/>
      <c r="AD31" s="2480"/>
      <c r="AE31" s="2480"/>
      <c r="AF31" s="2480"/>
      <c r="AG31" s="2480"/>
      <c r="AH31" s="2480"/>
      <c r="AI31" s="2480"/>
      <c r="AJ31" s="2480"/>
      <c r="AK31" s="2480"/>
      <c r="AL31" s="2480"/>
      <c r="AM31" s="2480"/>
      <c r="AN31" s="553"/>
    </row>
    <row r="32" spans="1:40" ht="12.9"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 customHeight="1">
      <c r="A34" s="436" t="s">
        <v>586</v>
      </c>
      <c r="C34" s="436" t="s">
        <v>578</v>
      </c>
    </row>
    <row r="35" spans="1:76" ht="12.9"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498" t="s">
        <v>1292</v>
      </c>
      <c r="Z35" s="2498"/>
      <c r="AA35" s="2498"/>
      <c r="AB35" s="2498"/>
      <c r="AC35" s="2498"/>
      <c r="AD35" s="2521" t="s">
        <v>371</v>
      </c>
      <c r="AE35" s="2521"/>
      <c r="AF35" s="2521"/>
      <c r="AG35" s="2521"/>
      <c r="AH35" s="2521"/>
    </row>
    <row r="36" spans="1:76" ht="12.9" customHeight="1">
      <c r="B36" s="439"/>
      <c r="X36" s="444"/>
      <c r="Y36" s="2498"/>
      <c r="Z36" s="2498"/>
      <c r="AA36" s="2498"/>
      <c r="AB36" s="2498"/>
      <c r="AC36" s="2498"/>
      <c r="AD36" s="2521"/>
      <c r="AE36" s="2521"/>
      <c r="AF36" s="2521"/>
      <c r="AG36" s="2521"/>
      <c r="AH36" s="2521"/>
    </row>
    <row r="37" spans="1:76" ht="12.9"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498"/>
      <c r="Z37" s="2498"/>
      <c r="AA37" s="2498"/>
      <c r="AB37" s="2498"/>
      <c r="AC37" s="2498"/>
      <c r="AD37" s="2521"/>
      <c r="AE37" s="2521"/>
      <c r="AF37" s="2521"/>
      <c r="AG37" s="2521"/>
      <c r="AH37" s="2521"/>
    </row>
    <row r="38" spans="1:76" ht="12.9" customHeight="1">
      <c r="A38" s="436"/>
      <c r="B38" s="2477" t="s">
        <v>516</v>
      </c>
      <c r="C38" s="2478"/>
      <c r="D38" s="2478"/>
      <c r="E38" s="2478"/>
      <c r="F38" s="2478"/>
      <c r="G38" s="2478"/>
      <c r="H38" s="2478"/>
      <c r="I38" s="2478"/>
      <c r="J38" s="2478"/>
      <c r="K38" s="2478"/>
      <c r="L38" s="2478"/>
      <c r="M38" s="2478"/>
      <c r="N38" s="2478"/>
      <c r="O38" s="2478"/>
      <c r="P38" s="2478"/>
      <c r="Q38" s="2478"/>
      <c r="R38" s="2478"/>
      <c r="S38" s="2478"/>
      <c r="T38" s="2478"/>
      <c r="U38" s="2478"/>
      <c r="V38" s="2478"/>
      <c r="W38" s="2478"/>
      <c r="X38" s="2479"/>
      <c r="Y38" s="2471">
        <f>IF(T24&gt;=(T23+Y23+AD23+AI23),T28+Y28,0)</f>
        <v>106480627.5</v>
      </c>
      <c r="Z38" s="2471"/>
      <c r="AA38" s="2471"/>
      <c r="AB38" s="2471"/>
      <c r="AC38" s="2471"/>
      <c r="AD38" s="2471">
        <f>IF(T24&gt;=(T23+Y23+AD23+AI23),AD28+AI28,0)</f>
        <v>0</v>
      </c>
      <c r="AE38" s="2471"/>
      <c r="AF38" s="2471"/>
      <c r="AG38" s="2471"/>
      <c r="AH38" s="2471"/>
    </row>
    <row r="39" spans="1:76" ht="12.9" customHeight="1">
      <c r="B39" s="2477" t="s">
        <v>1950</v>
      </c>
      <c r="C39" s="2478"/>
      <c r="D39" s="2478"/>
      <c r="E39" s="2478"/>
      <c r="F39" s="2478"/>
      <c r="G39" s="2478"/>
      <c r="H39" s="2478"/>
      <c r="I39" s="2478"/>
      <c r="J39" s="2478"/>
      <c r="K39" s="2478"/>
      <c r="L39" s="2478"/>
      <c r="M39" s="2478"/>
      <c r="N39" s="2478"/>
      <c r="O39" s="2478"/>
      <c r="P39" s="2478"/>
      <c r="Q39" s="2478"/>
      <c r="R39" s="2478"/>
      <c r="S39" s="2478"/>
      <c r="T39" s="2478"/>
      <c r="U39" s="2478"/>
      <c r="V39" s="2478"/>
      <c r="W39" s="2478"/>
      <c r="X39" s="2479"/>
      <c r="Y39" s="2522">
        <v>0.04</v>
      </c>
      <c r="Z39" s="2522"/>
      <c r="AA39" s="2522"/>
      <c r="AB39" s="2522"/>
      <c r="AC39" s="2522"/>
      <c r="AD39" s="2522">
        <v>0.04</v>
      </c>
      <c r="AE39" s="2522"/>
      <c r="AF39" s="2522"/>
      <c r="AG39" s="2522"/>
      <c r="AH39" s="2522"/>
    </row>
    <row r="40" spans="1:76" ht="12.9" customHeight="1">
      <c r="A40" s="436"/>
      <c r="B40" s="2477" t="s">
        <v>652</v>
      </c>
      <c r="C40" s="2478"/>
      <c r="D40" s="2478"/>
      <c r="E40" s="2478"/>
      <c r="F40" s="2478"/>
      <c r="G40" s="2478"/>
      <c r="H40" s="2478"/>
      <c r="I40" s="2478"/>
      <c r="J40" s="2478"/>
      <c r="K40" s="2478"/>
      <c r="L40" s="2478"/>
      <c r="M40" s="2478"/>
      <c r="N40" s="2478"/>
      <c r="O40" s="2478"/>
      <c r="P40" s="2478"/>
      <c r="Q40" s="2478"/>
      <c r="R40" s="2478"/>
      <c r="S40" s="2478"/>
      <c r="T40" s="2478"/>
      <c r="U40" s="2478"/>
      <c r="V40" s="2478"/>
      <c r="W40" s="2478"/>
      <c r="X40" s="2479"/>
      <c r="Y40" s="2471">
        <f>ROUND(Y38*Y39,0)</f>
        <v>4259225</v>
      </c>
      <c r="Z40" s="2471"/>
      <c r="AA40" s="2471"/>
      <c r="AB40" s="2471"/>
      <c r="AC40" s="2471"/>
      <c r="AD40" s="2470">
        <f>ROUND(AD38*AD39,0)</f>
        <v>0</v>
      </c>
      <c r="AE40" s="2471"/>
      <c r="AF40" s="2471"/>
      <c r="AG40" s="2471"/>
      <c r="AH40" s="2471"/>
    </row>
    <row r="41" spans="1:76" ht="12.9" customHeight="1">
      <c r="B41" s="2477" t="s">
        <v>653</v>
      </c>
      <c r="C41" s="2478"/>
      <c r="D41" s="2478"/>
      <c r="E41" s="2478"/>
      <c r="F41" s="2478"/>
      <c r="G41" s="2478"/>
      <c r="H41" s="2478"/>
      <c r="I41" s="2478"/>
      <c r="J41" s="2478"/>
      <c r="K41" s="2478"/>
      <c r="L41" s="2478"/>
      <c r="M41" s="2478"/>
      <c r="N41" s="2478"/>
      <c r="O41" s="2478"/>
      <c r="P41" s="2478"/>
      <c r="Q41" s="2478"/>
      <c r="R41" s="2478"/>
      <c r="S41" s="2478"/>
      <c r="T41" s="2478"/>
      <c r="U41" s="2478"/>
      <c r="V41" s="2478"/>
      <c r="W41" s="2478"/>
      <c r="X41" s="2479"/>
      <c r="Y41" s="2472">
        <f>Y40+AD40</f>
        <v>4259225</v>
      </c>
      <c r="Z41" s="2473"/>
      <c r="AA41" s="2473"/>
      <c r="AB41" s="2473"/>
      <c r="AC41" s="2473"/>
      <c r="AD41" s="2473"/>
      <c r="AE41" s="2473"/>
      <c r="AF41" s="2473"/>
      <c r="AG41" s="2473"/>
      <c r="AH41" s="2470"/>
    </row>
    <row r="42" spans="1:76" ht="12.9"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 customHeight="1" thickBot="1">
      <c r="A44" s="2475" t="s">
        <v>1433</v>
      </c>
      <c r="B44" s="2475"/>
      <c r="C44" s="2475"/>
      <c r="D44" s="2475"/>
      <c r="E44" s="2475"/>
      <c r="F44" s="2475"/>
      <c r="G44" s="2475"/>
      <c r="H44" s="2475"/>
      <c r="I44" s="2475"/>
      <c r="J44" s="2475"/>
      <c r="K44" s="2475"/>
      <c r="L44" s="2475"/>
      <c r="M44" s="2475"/>
      <c r="N44" s="2475"/>
      <c r="O44" s="2475"/>
      <c r="P44" s="2475"/>
      <c r="Q44" s="2475"/>
      <c r="R44" s="2475"/>
      <c r="S44" s="2475"/>
      <c r="T44" s="2475"/>
      <c r="U44" s="2475"/>
      <c r="V44" s="2475"/>
      <c r="W44" s="2475"/>
      <c r="X44" s="2475"/>
      <c r="Y44" s="2475"/>
      <c r="Z44" s="2475"/>
      <c r="AA44" s="2475"/>
      <c r="AB44" s="2475"/>
      <c r="AC44" s="2475"/>
      <c r="AD44" s="2475"/>
      <c r="AE44" s="2475"/>
      <c r="AF44" s="2475"/>
      <c r="AG44" s="2475"/>
      <c r="AH44" s="2475"/>
      <c r="AI44" s="2475"/>
      <c r="AJ44" s="2475"/>
      <c r="AK44" s="2475"/>
      <c r="AL44" s="2475"/>
      <c r="AM44" s="2475"/>
      <c r="AN44" s="2475"/>
      <c r="AO44" s="2475"/>
      <c r="AP44" s="2475"/>
      <c r="AQ44" s="2475"/>
      <c r="AR44" s="2475"/>
      <c r="AS44" s="2475"/>
      <c r="AT44" s="2475"/>
      <c r="AU44" s="2475"/>
      <c r="AV44" s="2475"/>
      <c r="AW44" s="2475"/>
      <c r="AX44" s="2475"/>
      <c r="AY44" s="2475"/>
      <c r="AZ44" s="2475"/>
      <c r="BA44" s="2475"/>
      <c r="BB44" s="2475"/>
      <c r="BC44" s="2475"/>
      <c r="BD44" s="2475"/>
      <c r="BE44" s="2475"/>
      <c r="BF44" s="2475"/>
      <c r="BG44" s="2475"/>
      <c r="BH44" s="2475"/>
      <c r="BI44" s="2475"/>
      <c r="BJ44" s="2475"/>
      <c r="BK44" s="2475"/>
      <c r="BL44" s="2475"/>
      <c r="BM44" s="2475"/>
      <c r="BN44" s="2475"/>
      <c r="BO44" s="2475"/>
      <c r="BP44" s="2475"/>
      <c r="BQ44" s="2475"/>
      <c r="BR44" s="2475"/>
      <c r="BS44" s="2475"/>
      <c r="BT44" s="2475"/>
      <c r="BU44" s="2475"/>
      <c r="BV44" s="2475"/>
      <c r="BW44" s="2475"/>
      <c r="BX44" s="2475"/>
    </row>
    <row r="45" spans="1:76" s="218" customFormat="1" ht="12.9" customHeight="1" thickTop="1"/>
    <row r="46" spans="1:76" ht="12.9" customHeight="1">
      <c r="A46" s="436" t="s">
        <v>596</v>
      </c>
      <c r="C46" s="436" t="s">
        <v>284</v>
      </c>
    </row>
    <row r="47" spans="1:76" ht="12.9" customHeight="1">
      <c r="D47" s="436" t="s">
        <v>285</v>
      </c>
      <c r="AB47" s="2487">
        <f>'Sources and Uses Budget'!B105-MAX(IF('Sources and Uses Budget'!B15="",0,'Sources and Uses Budget'!B15),IF(Application!AG393="",0,Application!AG393))</f>
        <v>89389242</v>
      </c>
      <c r="AC47" s="2488"/>
      <c r="AD47" s="2488"/>
      <c r="AE47" s="2488"/>
      <c r="AF47" s="2489"/>
    </row>
    <row r="48" spans="1:76" ht="12.9" customHeight="1">
      <c r="D48" s="436" t="s">
        <v>21</v>
      </c>
      <c r="AB48" s="2487">
        <f>Application!AO635-MAX(IF('Sources and Uses Budget'!B15="",0,'Sources and Uses Budget'!B15),IF(Application!AG393="",0,Application!AG393))</f>
        <v>52546945</v>
      </c>
      <c r="AC48" s="2488"/>
      <c r="AD48" s="2488"/>
      <c r="AE48" s="2488"/>
      <c r="AF48" s="2489"/>
    </row>
    <row r="49" spans="1:76" ht="12.9" customHeight="1">
      <c r="D49" s="436" t="s">
        <v>92</v>
      </c>
      <c r="AB49" s="2487">
        <f>AB47-AB48</f>
        <v>36842297</v>
      </c>
      <c r="AC49" s="2488"/>
      <c r="AD49" s="2488"/>
      <c r="AE49" s="2488"/>
      <c r="AF49" s="2489"/>
    </row>
    <row r="50" spans="1:76" ht="12.9" customHeight="1">
      <c r="D50" s="436" t="s">
        <v>691</v>
      </c>
      <c r="AA50" s="447"/>
      <c r="AB50" s="2514">
        <v>0.86500001800000004</v>
      </c>
      <c r="AC50" s="2515"/>
      <c r="AD50" s="2515"/>
      <c r="AE50" s="2515"/>
      <c r="AF50" s="2516"/>
    </row>
    <row r="51" spans="1:76" s="449" customFormat="1" ht="12.9" customHeight="1">
      <c r="A51" s="434"/>
      <c r="B51" s="434"/>
      <c r="C51" s="434"/>
      <c r="D51" s="434"/>
      <c r="E51" s="2517" t="s">
        <v>2111</v>
      </c>
      <c r="F51" s="2517"/>
      <c r="G51" s="2517"/>
      <c r="H51" s="2517"/>
      <c r="I51" s="2517"/>
      <c r="J51" s="2517"/>
      <c r="K51" s="2517"/>
      <c r="L51" s="2517"/>
      <c r="M51" s="2517"/>
      <c r="N51" s="2517"/>
      <c r="O51" s="2517"/>
      <c r="P51" s="2517"/>
      <c r="Q51" s="2517"/>
      <c r="R51" s="2517"/>
      <c r="S51" s="2517"/>
      <c r="T51" s="2517"/>
      <c r="U51" s="2517"/>
      <c r="V51" s="2517"/>
      <c r="W51" s="2517"/>
      <c r="X51" s="2517"/>
      <c r="Y51" s="2517"/>
      <c r="Z51" s="2517"/>
      <c r="AA51" s="448"/>
      <c r="AB51" s="448"/>
      <c r="AC51" s="448"/>
      <c r="AD51" s="448"/>
      <c r="AE51" s="448"/>
      <c r="AF51" s="448"/>
      <c r="AG51" s="434"/>
      <c r="AH51" s="434"/>
      <c r="AI51" s="434"/>
      <c r="AJ51" s="434"/>
      <c r="AK51" s="434"/>
      <c r="AL51" s="434"/>
      <c r="AM51" s="434"/>
      <c r="AN51" s="434"/>
    </row>
    <row r="52" spans="1:76" s="449" customFormat="1" ht="12.9" customHeight="1">
      <c r="A52" s="434"/>
      <c r="B52" s="434"/>
      <c r="C52" s="434"/>
      <c r="D52" s="434"/>
      <c r="E52" s="2517"/>
      <c r="F52" s="2517"/>
      <c r="G52" s="2517"/>
      <c r="H52" s="2517"/>
      <c r="I52" s="2517"/>
      <c r="J52" s="2517"/>
      <c r="K52" s="2517"/>
      <c r="L52" s="2517"/>
      <c r="M52" s="2517"/>
      <c r="N52" s="2517"/>
      <c r="O52" s="2517"/>
      <c r="P52" s="2517"/>
      <c r="Q52" s="2517"/>
      <c r="R52" s="2517"/>
      <c r="S52" s="2517"/>
      <c r="T52" s="2517"/>
      <c r="U52" s="2517"/>
      <c r="V52" s="2517"/>
      <c r="W52" s="2517"/>
      <c r="X52" s="2517"/>
      <c r="Y52" s="2517"/>
      <c r="Z52" s="2517"/>
      <c r="AA52" s="450"/>
      <c r="AB52" s="450"/>
      <c r="AC52" s="450"/>
      <c r="AD52" s="450"/>
      <c r="AE52" s="450"/>
      <c r="AF52" s="450"/>
      <c r="AG52" s="451"/>
      <c r="AH52" s="434"/>
      <c r="AI52" s="434"/>
      <c r="AJ52" s="434"/>
      <c r="AK52" s="434"/>
      <c r="AL52" s="434"/>
      <c r="AM52" s="434"/>
      <c r="AN52" s="434"/>
    </row>
    <row r="53" spans="1:76" ht="12.9"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 customHeight="1">
      <c r="D54" s="436" t="s">
        <v>334</v>
      </c>
      <c r="AB54" s="2487">
        <f>ROUND(IF(ISERROR((AB49/AB50)),0,(AB49/AB50)),0)</f>
        <v>42592250</v>
      </c>
      <c r="AC54" s="2488"/>
      <c r="AD54" s="2488"/>
      <c r="AE54" s="2488"/>
      <c r="AF54" s="2489"/>
    </row>
    <row r="55" spans="1:76" ht="12.9" customHeight="1">
      <c r="D55" s="436" t="s">
        <v>335</v>
      </c>
      <c r="AB55" s="2487">
        <f>(AB54/10)</f>
        <v>4259225</v>
      </c>
      <c r="AC55" s="2488"/>
      <c r="AD55" s="2488"/>
      <c r="AE55" s="2488"/>
      <c r="AF55" s="2489"/>
    </row>
    <row r="56" spans="1:76" ht="12.9" customHeight="1">
      <c r="D56" s="436" t="s">
        <v>769</v>
      </c>
      <c r="AB56" s="2518">
        <f>(IF((Y41&lt;AB55),Y41,AB55))</f>
        <v>4259225</v>
      </c>
      <c r="AC56" s="2519"/>
      <c r="AD56" s="2519"/>
      <c r="AE56" s="2519"/>
      <c r="AF56" s="2520"/>
    </row>
    <row r="57" spans="1:76" ht="12.9" customHeight="1">
      <c r="D57" s="436" t="s">
        <v>768</v>
      </c>
      <c r="AB57" s="2487">
        <f>ROUND((10*AB56*AB50),0)</f>
        <v>36842297</v>
      </c>
      <c r="AC57" s="2488"/>
      <c r="AD57" s="2488"/>
      <c r="AE57" s="2488"/>
      <c r="AF57" s="2489"/>
    </row>
    <row r="58" spans="1:76" ht="12.9" customHeight="1">
      <c r="D58" s="436"/>
      <c r="AB58" s="455"/>
      <c r="AC58" s="455"/>
      <c r="AD58" s="455"/>
      <c r="AE58" s="455"/>
      <c r="AF58" s="455"/>
    </row>
    <row r="59" spans="1:76" ht="12.9" customHeight="1">
      <c r="D59" s="436" t="s">
        <v>767</v>
      </c>
      <c r="AB59" s="2510">
        <f>AB49-AB57</f>
        <v>0</v>
      </c>
      <c r="AC59" s="2510"/>
      <c r="AD59" s="2510"/>
      <c r="AE59" s="2510"/>
      <c r="AF59" s="2510"/>
    </row>
    <row r="60" spans="1:76" ht="12.9" customHeight="1">
      <c r="D60" s="436"/>
      <c r="AB60" s="455"/>
      <c r="AC60" s="455"/>
      <c r="AD60" s="455"/>
      <c r="AE60" s="455"/>
      <c r="AF60" s="455"/>
    </row>
    <row r="61" spans="1:76" s="218" customFormat="1" ht="12.9" customHeight="1" thickBot="1">
      <c r="A61" s="2475" t="str">
        <f>IF(Application!AP204="yes","Farmworker State Credit", "State Credit" )</f>
        <v>State Credit</v>
      </c>
      <c r="B61" s="2475"/>
      <c r="C61" s="2475"/>
      <c r="D61" s="2475"/>
      <c r="E61" s="2475"/>
      <c r="F61" s="2475"/>
      <c r="G61" s="2475"/>
      <c r="H61" s="2475"/>
      <c r="I61" s="2475"/>
      <c r="J61" s="2475"/>
      <c r="K61" s="2475"/>
      <c r="L61" s="2475"/>
      <c r="M61" s="2475"/>
      <c r="N61" s="2475"/>
      <c r="O61" s="2475"/>
      <c r="P61" s="2475"/>
      <c r="Q61" s="2475"/>
      <c r="R61" s="2475"/>
      <c r="S61" s="2475"/>
      <c r="T61" s="2475"/>
      <c r="U61" s="2475"/>
      <c r="V61" s="2475"/>
      <c r="W61" s="2475"/>
      <c r="X61" s="2475"/>
      <c r="Y61" s="2475"/>
      <c r="Z61" s="2475"/>
      <c r="AA61" s="2475"/>
      <c r="AB61" s="2475"/>
      <c r="AC61" s="2475"/>
      <c r="AD61" s="2475"/>
      <c r="AE61" s="2475"/>
      <c r="AF61" s="2475"/>
      <c r="AG61" s="2475"/>
      <c r="AH61" s="2475"/>
      <c r="AI61" s="2475"/>
      <c r="AJ61" s="2475"/>
      <c r="AK61" s="2475"/>
      <c r="AL61" s="2475"/>
      <c r="AM61" s="2475"/>
      <c r="AN61" s="2475"/>
      <c r="AO61" s="2475"/>
      <c r="AP61" s="2475"/>
      <c r="AQ61" s="2475"/>
      <c r="AR61" s="2475"/>
      <c r="AS61" s="2475"/>
      <c r="AT61" s="2475"/>
      <c r="AU61" s="2475"/>
      <c r="AV61" s="2475"/>
      <c r="AW61" s="2475"/>
      <c r="AX61" s="2475"/>
      <c r="AY61" s="2475"/>
      <c r="AZ61" s="2475"/>
      <c r="BA61" s="2475"/>
      <c r="BB61" s="2475"/>
      <c r="BC61" s="2475"/>
      <c r="BD61" s="2475"/>
      <c r="BE61" s="2475"/>
      <c r="BF61" s="2475"/>
      <c r="BG61" s="2475"/>
      <c r="BH61" s="2475"/>
      <c r="BI61" s="2475"/>
      <c r="BJ61" s="2475"/>
      <c r="BK61" s="2475"/>
      <c r="BL61" s="2475"/>
      <c r="BM61" s="2475"/>
      <c r="BN61" s="2475"/>
      <c r="BO61" s="2475"/>
      <c r="BP61" s="2475"/>
      <c r="BQ61" s="2475"/>
      <c r="BR61" s="2475"/>
      <c r="BS61" s="2475"/>
      <c r="BT61" s="2475"/>
      <c r="BU61" s="2475"/>
      <c r="BV61" s="2475"/>
      <c r="BW61" s="2475"/>
      <c r="BX61" s="2475"/>
    </row>
    <row r="62" spans="1:76" s="218" customFormat="1" ht="12.9" customHeight="1" thickTop="1"/>
    <row r="63" spans="1:76" ht="12.9" customHeight="1">
      <c r="A63" s="436" t="s">
        <v>599</v>
      </c>
      <c r="C63" s="219" t="s">
        <v>1404</v>
      </c>
      <c r="Y63" s="2511" t="s">
        <v>1023</v>
      </c>
      <c r="Z63" s="2511"/>
      <c r="AA63" s="2511"/>
      <c r="AB63" s="2511"/>
      <c r="AC63" s="2511"/>
      <c r="AD63" s="2511" t="s">
        <v>371</v>
      </c>
      <c r="AE63" s="2511"/>
      <c r="AF63" s="2511"/>
      <c r="AG63" s="2511"/>
      <c r="AH63" s="2511"/>
    </row>
    <row r="64" spans="1:76" ht="12.9" customHeight="1">
      <c r="C64" s="436"/>
      <c r="D64" s="409" t="s">
        <v>1405</v>
      </c>
      <c r="E64" s="452"/>
      <c r="F64" s="452"/>
      <c r="G64" s="452"/>
      <c r="H64" s="452"/>
      <c r="I64" s="452"/>
      <c r="J64" s="452"/>
      <c r="K64" s="452"/>
      <c r="L64" s="452"/>
      <c r="M64" s="452"/>
      <c r="N64" s="452"/>
      <c r="O64" s="452"/>
      <c r="P64" s="452"/>
      <c r="Q64" s="452"/>
      <c r="R64" s="452"/>
      <c r="S64" s="452"/>
      <c r="T64" s="452"/>
      <c r="U64" s="452"/>
      <c r="V64" s="452"/>
      <c r="W64" s="452"/>
      <c r="X64" s="452"/>
      <c r="Y64" s="2472">
        <f>IF(Application!Z204="(select)",0,((T23*T27)+Y28))</f>
        <v>81908175</v>
      </c>
      <c r="Z64" s="2512"/>
      <c r="AA64" s="2512"/>
      <c r="AB64" s="2512"/>
      <c r="AC64" s="2513"/>
      <c r="AD64" s="2472">
        <f>IF(AND(OR(Application!D210="At-Risk",Application!D210="At-Risk and Special Needs"),Application!M357="yes"),AD28+AI28,0)</f>
        <v>0</v>
      </c>
      <c r="AE64" s="2512"/>
      <c r="AF64" s="2512"/>
      <c r="AG64" s="2512"/>
      <c r="AH64" s="2513"/>
    </row>
    <row r="65" spans="1:36" ht="12.9" customHeight="1">
      <c r="C65" s="436"/>
      <c r="E65" s="1054" t="s">
        <v>2109</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2110</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28">
        <f>IF(Application!AP204="yes",0.75,IF(Application!Z203="15% set-aside",0.13,IF(Application!Z203="15% set-aside with qualifying low value rehab",0.95,0.3)))</f>
        <v>0.3</v>
      </c>
      <c r="Z67" s="2528"/>
      <c r="AA67" s="2528"/>
      <c r="AB67" s="2528"/>
      <c r="AC67" s="2528"/>
      <c r="AD67" s="2528">
        <f>IF(Application!Z203="15% set-aside with qualifying low value rehab", 0.95,0.13)</f>
        <v>0.13</v>
      </c>
      <c r="AE67" s="2528"/>
      <c r="AF67" s="2528"/>
      <c r="AG67" s="2528"/>
      <c r="AH67" s="2528"/>
    </row>
    <row r="68" spans="1:36" ht="12.9" customHeight="1">
      <c r="C68" s="436"/>
      <c r="D68" s="219" t="s">
        <v>1406</v>
      </c>
      <c r="Y68" s="2471">
        <f>ROUND(Y64*Y67,0)</f>
        <v>24572453</v>
      </c>
      <c r="Z68" s="2529"/>
      <c r="AA68" s="2529"/>
      <c r="AB68" s="2529"/>
      <c r="AC68" s="2529"/>
      <c r="AD68" s="2471">
        <f>ROUND(AD64*AD67,0)</f>
        <v>0</v>
      </c>
      <c r="AE68" s="2529"/>
      <c r="AF68" s="2529"/>
      <c r="AG68" s="2529"/>
      <c r="AH68" s="2529"/>
    </row>
    <row r="69" spans="1:36" ht="12.9" customHeight="1">
      <c r="C69" s="436"/>
      <c r="E69" s="436"/>
      <c r="AB69" s="454"/>
      <c r="AC69" s="454"/>
      <c r="AD69" s="454"/>
      <c r="AE69" s="454"/>
      <c r="AF69" s="454"/>
    </row>
    <row r="70" spans="1:36" ht="12.9" customHeight="1">
      <c r="A70" s="436" t="s">
        <v>600</v>
      </c>
      <c r="C70" s="219" t="s">
        <v>286</v>
      </c>
    </row>
    <row r="71" spans="1:36" ht="12.9" customHeight="1">
      <c r="A71" s="436"/>
      <c r="C71" s="436"/>
      <c r="D71" s="219" t="s">
        <v>1407</v>
      </c>
      <c r="AB71" s="2514"/>
      <c r="AC71" s="2515"/>
      <c r="AD71" s="2515"/>
      <c r="AE71" s="2515"/>
      <c r="AF71" s="2516"/>
    </row>
    <row r="72" spans="1:36" ht="12.9" customHeight="1">
      <c r="A72" s="436"/>
      <c r="C72" s="436"/>
      <c r="D72" s="436"/>
      <c r="E72" s="2530" t="s">
        <v>1408</v>
      </c>
      <c r="F72" s="2530"/>
      <c r="G72" s="2530"/>
      <c r="H72" s="2530"/>
      <c r="I72" s="2530"/>
      <c r="J72" s="2530"/>
      <c r="K72" s="2530"/>
      <c r="L72" s="2530"/>
      <c r="M72" s="2530"/>
      <c r="N72" s="2530"/>
      <c r="O72" s="2530"/>
      <c r="P72" s="2530"/>
      <c r="Q72" s="2530"/>
      <c r="R72" s="2530"/>
      <c r="S72" s="2530"/>
      <c r="T72" s="2530"/>
      <c r="U72" s="2530"/>
      <c r="V72" s="2530"/>
      <c r="W72" s="2530"/>
      <c r="X72" s="2530"/>
      <c r="Y72" s="2530"/>
      <c r="Z72" s="2530"/>
      <c r="AA72" s="2530"/>
      <c r="AB72" s="472"/>
      <c r="AC72" s="472"/>
    </row>
    <row r="73" spans="1:36" ht="12.9" customHeight="1">
      <c r="A73" s="436"/>
      <c r="C73" s="436"/>
      <c r="D73" s="436"/>
      <c r="E73" s="2530"/>
      <c r="F73" s="2530"/>
      <c r="G73" s="2530"/>
      <c r="H73" s="2530"/>
      <c r="I73" s="2530"/>
      <c r="J73" s="2530"/>
      <c r="K73" s="2530"/>
      <c r="L73" s="2530"/>
      <c r="M73" s="2530"/>
      <c r="N73" s="2530"/>
      <c r="O73" s="2530"/>
      <c r="P73" s="2530"/>
      <c r="Q73" s="2530"/>
      <c r="R73" s="2530"/>
      <c r="S73" s="2530"/>
      <c r="T73" s="2530"/>
      <c r="U73" s="2530"/>
      <c r="V73" s="2530"/>
      <c r="W73" s="2530"/>
      <c r="X73" s="2530"/>
      <c r="Y73" s="2530"/>
      <c r="Z73" s="2530"/>
      <c r="AA73" s="2530"/>
      <c r="AB73" s="472"/>
      <c r="AC73" s="472"/>
    </row>
    <row r="74" spans="1:36" ht="12.9" customHeight="1">
      <c r="A74" s="436"/>
      <c r="C74" s="436"/>
      <c r="D74" s="436"/>
      <c r="E74" s="2530"/>
      <c r="F74" s="2530"/>
      <c r="G74" s="2530"/>
      <c r="H74" s="2530"/>
      <c r="I74" s="2530"/>
      <c r="J74" s="2530"/>
      <c r="K74" s="2530"/>
      <c r="L74" s="2530"/>
      <c r="M74" s="2530"/>
      <c r="N74" s="2530"/>
      <c r="O74" s="2530"/>
      <c r="P74" s="2530"/>
      <c r="Q74" s="2530"/>
      <c r="R74" s="2530"/>
      <c r="S74" s="2530"/>
      <c r="T74" s="2530"/>
      <c r="U74" s="2530"/>
      <c r="V74" s="2530"/>
      <c r="W74" s="2530"/>
      <c r="X74" s="2530"/>
      <c r="Y74" s="2530"/>
      <c r="Z74" s="2530"/>
      <c r="AA74" s="2530"/>
      <c r="AB74" s="472"/>
      <c r="AC74" s="472"/>
    </row>
    <row r="75" spans="1:36" ht="12.9"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 customHeight="1">
      <c r="C76" s="436"/>
      <c r="D76" s="219" t="s">
        <v>1409</v>
      </c>
      <c r="AB76" s="2523">
        <f>ROUND(IF(ISERROR((AB59/AB71)),0,(AB59/AB71)),0)</f>
        <v>0</v>
      </c>
      <c r="AC76" s="2523"/>
      <c r="AD76" s="2523"/>
      <c r="AE76" s="2523"/>
      <c r="AF76" s="2523"/>
    </row>
    <row r="77" spans="1:36" ht="12.9" customHeight="1">
      <c r="C77" s="436"/>
      <c r="D77" s="219" t="s">
        <v>1410</v>
      </c>
      <c r="AB77" s="2524">
        <f>IF((Y68+AD68&lt;AB76),Y68+AD68,AB76)</f>
        <v>0</v>
      </c>
      <c r="AC77" s="2525"/>
      <c r="AD77" s="2525"/>
      <c r="AE77" s="2525"/>
      <c r="AF77" s="2526"/>
    </row>
    <row r="78" spans="1:36" ht="12.9" customHeight="1">
      <c r="C78" s="436"/>
      <c r="D78" s="219" t="s">
        <v>1411</v>
      </c>
      <c r="AB78" s="2527">
        <f>AB77*AB71</f>
        <v>0</v>
      </c>
      <c r="AC78" s="2527"/>
      <c r="AD78" s="2527"/>
      <c r="AE78" s="2527"/>
      <c r="AF78" s="2527"/>
    </row>
    <row r="79" spans="1:36" ht="12.9" customHeight="1">
      <c r="C79" s="436"/>
      <c r="D79" s="436"/>
      <c r="AB79" s="457"/>
      <c r="AC79" s="457"/>
      <c r="AD79" s="457"/>
      <c r="AE79" s="457"/>
      <c r="AF79" s="457"/>
    </row>
    <row r="80" spans="1:36" ht="12.9" customHeight="1">
      <c r="D80" s="436" t="s">
        <v>767</v>
      </c>
      <c r="AB80" s="2510">
        <f>AB49-(AB57+AB78)</f>
        <v>0</v>
      </c>
      <c r="AC80" s="2510"/>
      <c r="AD80" s="2510"/>
      <c r="AE80" s="2510"/>
      <c r="AF80" s="2510"/>
    </row>
    <row r="81" spans="1:78" ht="12.9" customHeight="1">
      <c r="F81" s="557"/>
      <c r="J81" s="557" t="str">
        <f>IF(AB80&gt;0,"FUNDING GAP MUST NOT EXCEED ZERO","")</f>
        <v/>
      </c>
    </row>
    <row r="82" spans="1:78" ht="12.9" customHeight="1">
      <c r="D82" s="558"/>
    </row>
    <row r="83" spans="1:78" ht="12.9" customHeight="1" thickBot="1">
      <c r="A83" s="2475"/>
      <c r="B83" s="2475"/>
      <c r="C83" s="2475"/>
      <c r="D83" s="2475"/>
      <c r="E83" s="2475"/>
      <c r="F83" s="2475"/>
      <c r="G83" s="2475"/>
      <c r="H83" s="2475"/>
      <c r="I83" s="2475"/>
      <c r="J83" s="2475"/>
      <c r="K83" s="2475"/>
      <c r="L83" s="2475"/>
      <c r="M83" s="2475"/>
      <c r="N83" s="2475"/>
      <c r="O83" s="2475"/>
      <c r="P83" s="2475"/>
      <c r="Q83" s="2475"/>
      <c r="R83" s="2475"/>
      <c r="S83" s="2475"/>
      <c r="T83" s="2475"/>
      <c r="U83" s="2475"/>
      <c r="V83" s="2475"/>
      <c r="W83" s="2475"/>
      <c r="X83" s="2475"/>
      <c r="Y83" s="2475"/>
      <c r="Z83" s="2475"/>
      <c r="AA83" s="2475"/>
      <c r="AB83" s="2475"/>
      <c r="AC83" s="2475"/>
      <c r="AD83" s="2475"/>
      <c r="AE83" s="2475"/>
      <c r="AF83" s="2475"/>
      <c r="AG83" s="2475"/>
      <c r="AH83" s="2475"/>
      <c r="AI83" s="2475"/>
      <c r="AJ83" s="2475"/>
      <c r="AK83" s="2475"/>
      <c r="AL83" s="2475"/>
      <c r="AM83" s="2475"/>
      <c r="AN83" s="2475"/>
      <c r="AO83" s="2475"/>
      <c r="AP83" s="2475"/>
      <c r="AQ83" s="2475"/>
      <c r="AR83" s="2475"/>
      <c r="AS83" s="2475"/>
      <c r="AT83" s="2475"/>
      <c r="AU83" s="2475"/>
      <c r="AV83" s="2475"/>
      <c r="AW83" s="2475"/>
      <c r="AX83" s="2475"/>
      <c r="AY83" s="2475"/>
      <c r="AZ83" s="2475"/>
      <c r="BA83" s="2475"/>
      <c r="BB83" s="2475"/>
      <c r="BC83" s="2475"/>
      <c r="BD83" s="2475"/>
      <c r="BE83" s="2475"/>
      <c r="BF83" s="2475"/>
      <c r="BG83" s="2475"/>
      <c r="BH83" s="2475"/>
      <c r="BI83" s="2475"/>
      <c r="BJ83" s="2475"/>
      <c r="BK83" s="2475"/>
      <c r="BL83" s="2475"/>
      <c r="BM83" s="2475"/>
      <c r="BN83" s="2475"/>
      <c r="BO83" s="2475"/>
      <c r="BP83" s="2475"/>
      <c r="BQ83" s="2475"/>
      <c r="BR83" s="2475"/>
      <c r="BS83" s="2475"/>
      <c r="BT83" s="2475"/>
      <c r="BU83" s="2475"/>
      <c r="BV83" s="2475"/>
      <c r="BW83" s="2475"/>
      <c r="BX83" s="2475"/>
    </row>
    <row r="84" spans="1:78" ht="12.9" customHeight="1" thickTop="1"/>
    <row r="85" spans="1:78" ht="12.9" customHeight="1">
      <c r="A85" s="436"/>
      <c r="C85" s="219"/>
    </row>
    <row r="86" spans="1:78" ht="12.9" customHeight="1">
      <c r="D86" s="219"/>
      <c r="AB86" s="2476"/>
      <c r="AC86" s="2476"/>
      <c r="AD86" s="2476"/>
      <c r="AE86" s="2476"/>
      <c r="AF86" s="2476"/>
    </row>
    <row r="87" spans="1:78" ht="12.9" customHeight="1" thickBot="1">
      <c r="D87" s="219"/>
      <c r="AB87" s="2474"/>
      <c r="AC87" s="2474"/>
      <c r="AD87" s="2474"/>
      <c r="AE87" s="2474"/>
      <c r="AF87" s="2474"/>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 customHeight="1" thickTop="1"/>
  </sheetData>
  <sheetProtection algorithmName="SHA-512" hashValue="CPATDulQss3dZ10ZrQyzJuI3g0s6Ma2JVhbdFpWK7GJ54X2plxEzdPnfITWqTGEYT6MKEiNYFZl55/Q6qZ2+4w==" saltValue="js12ha+crr9W9y/aL/67q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3.8"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hidden="1" customWidth="1"/>
    <col min="18" max="16384" width="9.109375" style="327" hidden="1"/>
  </cols>
  <sheetData>
    <row r="1" spans="1:12">
      <c r="A1" s="2531" t="s">
        <v>942</v>
      </c>
      <c r="B1" s="2531"/>
      <c r="C1" s="2531"/>
      <c r="D1" s="2531"/>
      <c r="E1" s="2531"/>
      <c r="F1" s="2531"/>
      <c r="G1" s="2531"/>
      <c r="H1" s="2531"/>
      <c r="I1" s="2531"/>
      <c r="J1" s="2531"/>
      <c r="K1" s="218"/>
      <c r="L1" s="218"/>
    </row>
    <row r="2" spans="1:12">
      <c r="A2" s="225"/>
      <c r="B2" s="225"/>
      <c r="C2" s="225"/>
      <c r="D2" s="225"/>
      <c r="E2" s="225"/>
      <c r="F2" s="225"/>
      <c r="G2" s="225"/>
      <c r="H2" s="225"/>
      <c r="I2" s="225"/>
      <c r="J2" s="225"/>
    </row>
    <row r="3" spans="1:12" ht="82.8">
      <c r="A3" s="458" t="s">
        <v>943</v>
      </c>
      <c r="B3" s="458" t="s">
        <v>944</v>
      </c>
      <c r="C3" s="458" t="s">
        <v>2338</v>
      </c>
      <c r="D3" s="1199" t="s">
        <v>945</v>
      </c>
      <c r="E3" s="218"/>
      <c r="F3" s="1199" t="s">
        <v>946</v>
      </c>
      <c r="G3" s="458" t="s">
        <v>947</v>
      </c>
      <c r="H3" s="459"/>
      <c r="I3" s="458" t="s">
        <v>948</v>
      </c>
      <c r="J3" s="458" t="s">
        <v>949</v>
      </c>
      <c r="K3" s="218"/>
      <c r="L3" s="328"/>
    </row>
    <row r="4" spans="1:12">
      <c r="A4" s="460" t="str">
        <f>Application!B714</f>
        <v>1 Bedroom</v>
      </c>
      <c r="B4" s="1130">
        <f>Application!G714</f>
        <v>11</v>
      </c>
      <c r="C4" s="1131"/>
      <c r="D4" s="460">
        <f>Application!O714</f>
        <v>775</v>
      </c>
      <c r="E4" s="461"/>
      <c r="F4" s="1132"/>
      <c r="G4" s="460">
        <f>F4*B4</f>
        <v>0</v>
      </c>
      <c r="H4" s="461"/>
      <c r="I4" s="460" t="str">
        <f>IF(F4=0," ",(F4-D4))</f>
        <v xml:space="preserve"> </v>
      </c>
      <c r="J4" s="460" t="str">
        <f>IF(F4=0," ",(I4*B4))</f>
        <v xml:space="preserve"> </v>
      </c>
      <c r="K4" s="218"/>
      <c r="L4" s="328"/>
    </row>
    <row r="5" spans="1:12">
      <c r="A5" s="460" t="str">
        <f>Application!B715</f>
        <v>1 Bedroom</v>
      </c>
      <c r="B5" s="1130">
        <f>Application!G715</f>
        <v>11</v>
      </c>
      <c r="C5" s="1131"/>
      <c r="D5" s="460">
        <f>Application!O715</f>
        <v>1292</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83</v>
      </c>
      <c r="C6" s="1131"/>
      <c r="D6" s="460">
        <f>Application!O716</f>
        <v>1551</v>
      </c>
      <c r="E6" s="461"/>
      <c r="F6" s="1132"/>
      <c r="G6" s="460">
        <f t="shared" si="0"/>
        <v>0</v>
      </c>
      <c r="H6" s="461"/>
      <c r="I6" s="460" t="str">
        <f t="shared" si="1"/>
        <v xml:space="preserve"> </v>
      </c>
      <c r="J6" s="460" t="str">
        <f t="shared" si="2"/>
        <v xml:space="preserve"> </v>
      </c>
      <c r="K6" s="218"/>
      <c r="L6" s="328"/>
    </row>
    <row r="7" spans="1:12">
      <c r="A7" s="460" t="str">
        <f>Application!B717</f>
        <v>2 Bedrooms</v>
      </c>
      <c r="B7" s="1130">
        <f>Application!G717</f>
        <v>7</v>
      </c>
      <c r="C7" s="1131"/>
      <c r="D7" s="460">
        <f>Application!O717</f>
        <v>930</v>
      </c>
      <c r="E7" s="461"/>
      <c r="F7" s="1132"/>
      <c r="G7" s="460">
        <f t="shared" si="0"/>
        <v>0</v>
      </c>
      <c r="H7" s="461"/>
      <c r="I7" s="460" t="str">
        <f t="shared" si="1"/>
        <v xml:space="preserve"> </v>
      </c>
      <c r="J7" s="460" t="str">
        <f t="shared" si="2"/>
        <v xml:space="preserve"> </v>
      </c>
      <c r="K7" s="218"/>
      <c r="L7" s="328"/>
    </row>
    <row r="8" spans="1:12">
      <c r="A8" s="460" t="str">
        <f>Application!B718</f>
        <v>2 Bedrooms</v>
      </c>
      <c r="B8" s="1130">
        <f>Application!G718</f>
        <v>7</v>
      </c>
      <c r="C8" s="1131"/>
      <c r="D8" s="460">
        <f>Application!O718</f>
        <v>1551</v>
      </c>
      <c r="E8" s="461"/>
      <c r="F8" s="1132"/>
      <c r="G8" s="460">
        <f t="shared" si="0"/>
        <v>0</v>
      </c>
      <c r="H8" s="461"/>
      <c r="I8" s="460" t="str">
        <f t="shared" si="1"/>
        <v xml:space="preserve"> </v>
      </c>
      <c r="J8" s="460" t="str">
        <f t="shared" si="2"/>
        <v xml:space="preserve"> </v>
      </c>
      <c r="K8" s="218"/>
      <c r="L8" s="328"/>
    </row>
    <row r="9" spans="1:12">
      <c r="A9" s="460" t="str">
        <f>Application!B719</f>
        <v>2 Bedrooms</v>
      </c>
      <c r="B9" s="1130">
        <f>Application!G719</f>
        <v>47</v>
      </c>
      <c r="C9" s="1131"/>
      <c r="D9" s="460">
        <f>Application!O719</f>
        <v>1861</v>
      </c>
      <c r="E9" s="461"/>
      <c r="F9" s="1132"/>
      <c r="G9" s="460">
        <f t="shared" si="0"/>
        <v>0</v>
      </c>
      <c r="H9" s="461"/>
      <c r="I9" s="460" t="str">
        <f t="shared" si="1"/>
        <v xml:space="preserve"> </v>
      </c>
      <c r="J9" s="460" t="str">
        <f t="shared" si="2"/>
        <v xml:space="preserve"> </v>
      </c>
      <c r="K9" s="218"/>
      <c r="L9" s="328"/>
    </row>
    <row r="10" spans="1:12">
      <c r="A10" s="460" t="str">
        <f>Application!B720</f>
        <v>3 Bedrooms</v>
      </c>
      <c r="B10" s="1130">
        <f>Application!G720</f>
        <v>6</v>
      </c>
      <c r="C10" s="1131"/>
      <c r="D10" s="460">
        <f>Application!O720</f>
        <v>1075</v>
      </c>
      <c r="E10" s="461"/>
      <c r="F10" s="1132"/>
      <c r="G10" s="460">
        <f t="shared" si="0"/>
        <v>0</v>
      </c>
      <c r="H10" s="461"/>
      <c r="I10" s="460" t="str">
        <f t="shared" si="1"/>
        <v xml:space="preserve"> </v>
      </c>
      <c r="J10" s="460" t="str">
        <f t="shared" si="2"/>
        <v xml:space="preserve"> </v>
      </c>
      <c r="K10" s="218"/>
      <c r="L10" s="328"/>
    </row>
    <row r="11" spans="1:12">
      <c r="A11" s="460" t="str">
        <f>Application!B721</f>
        <v>3 Bedrooms</v>
      </c>
      <c r="B11" s="1130">
        <f>Application!G721</f>
        <v>6</v>
      </c>
      <c r="C11" s="1131"/>
      <c r="D11" s="460">
        <f>Application!O721</f>
        <v>1791</v>
      </c>
      <c r="E11" s="461"/>
      <c r="F11" s="1132"/>
      <c r="G11" s="460">
        <f t="shared" si="0"/>
        <v>0</v>
      </c>
      <c r="H11" s="461"/>
      <c r="I11" s="460" t="str">
        <f t="shared" si="1"/>
        <v xml:space="preserve"> </v>
      </c>
      <c r="J11" s="460" t="str">
        <f t="shared" si="2"/>
        <v xml:space="preserve"> </v>
      </c>
      <c r="K11" s="218"/>
      <c r="L11" s="328"/>
    </row>
    <row r="12" spans="1:12">
      <c r="A12" s="460" t="str">
        <f>Application!B722</f>
        <v>3 Bedrooms</v>
      </c>
      <c r="B12" s="1130">
        <f>Application!G722</f>
        <v>48</v>
      </c>
      <c r="C12" s="1131"/>
      <c r="D12" s="460">
        <f>Application!O722</f>
        <v>2150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950</v>
      </c>
      <c r="B30" s="463"/>
      <c r="C30" s="463"/>
      <c r="D30" s="464">
        <f>Application!O739</f>
        <v>376700</v>
      </c>
      <c r="E30" s="461"/>
      <c r="F30" s="461"/>
      <c r="G30" s="464">
        <f>SUM(G4:G28)*12</f>
        <v>0</v>
      </c>
      <c r="H30" s="465"/>
      <c r="I30" s="463"/>
      <c r="J30" s="464">
        <f>SUM(J4:J28)*12</f>
        <v>0</v>
      </c>
      <c r="K30" s="218"/>
      <c r="L30" s="329"/>
    </row>
    <row r="31" spans="1:12">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2520</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D45" zoomScaleNormal="100" zoomScaleSheetLayoutView="100" workbookViewId="0">
      <selection activeCell="AA63" sqref="AA63"/>
    </sheetView>
  </sheetViews>
  <sheetFormatPr defaultColWidth="0" defaultRowHeight="13.2" zeroHeight="1"/>
  <cols>
    <col min="1" max="1" width="3.6640625" customWidth="1"/>
    <col min="2" max="2" width="27.6640625" customWidth="1"/>
    <col min="3" max="3" width="9.10937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26" t="s">
        <v>2510</v>
      </c>
      <c r="B1" s="226"/>
    </row>
    <row r="2" spans="1:34"/>
    <row r="3" spans="1:34" ht="15.6">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3.8">
      <c r="A4" s="235" t="s">
        <v>866</v>
      </c>
      <c r="C4" s="253">
        <v>1.0249999999999999</v>
      </c>
      <c r="E4" s="235">
        <f>Application!Y785</f>
        <v>4565064</v>
      </c>
      <c r="G4" s="235">
        <f>E4*$C$4</f>
        <v>4679190.5999999996</v>
      </c>
      <c r="I4" s="235">
        <f>G4*$C$4</f>
        <v>4796170.3649999993</v>
      </c>
      <c r="K4" s="235">
        <f>I4*$C$4</f>
        <v>4916074.6241249992</v>
      </c>
      <c r="M4" s="235">
        <f>K4*$C$4</f>
        <v>5038976.4897281239</v>
      </c>
      <c r="O4" s="235">
        <f>M4*$C$4</f>
        <v>5164950.9019713262</v>
      </c>
      <c r="Q4" s="235">
        <f>O4*$C$4</f>
        <v>5294074.674520609</v>
      </c>
      <c r="S4" s="235">
        <f>Q4*$C$4</f>
        <v>5426426.5413836241</v>
      </c>
      <c r="U4" s="235">
        <f>S4*$C$4</f>
        <v>5562087.2049182141</v>
      </c>
      <c r="W4" s="235">
        <f>U4*$C$4</f>
        <v>5701139.3850411689</v>
      </c>
      <c r="Y4" s="235">
        <f>W4*$C$4</f>
        <v>5843667.8696671976</v>
      </c>
      <c r="AA4" s="235">
        <f>Y4*$C$4</f>
        <v>5989759.5664088773</v>
      </c>
      <c r="AC4" s="235">
        <f>AA4*$C$4</f>
        <v>6139503.5555690983</v>
      </c>
      <c r="AE4" s="235">
        <f>AC4*$C$4</f>
        <v>6292991.1444583256</v>
      </c>
      <c r="AG4" s="235">
        <f>AE4*$C$4</f>
        <v>6450315.9230697835</v>
      </c>
    </row>
    <row r="5" spans="1:34" s="225" customFormat="1" ht="13.8">
      <c r="B5" s="225" t="s">
        <v>867</v>
      </c>
      <c r="C5" s="254">
        <f>IF(Application!$D$210="Special Needs",0.1,0.05)</f>
        <v>0.05</v>
      </c>
      <c r="E5" s="237">
        <f>-E4*$C$5</f>
        <v>-228253.2</v>
      </c>
      <c r="F5" s="237"/>
      <c r="G5" s="237">
        <f>-G4*$C$5</f>
        <v>-233959.53</v>
      </c>
      <c r="H5" s="237"/>
      <c r="I5" s="237">
        <f>-I4*$C$5</f>
        <v>-239808.51824999996</v>
      </c>
      <c r="J5" s="237"/>
      <c r="K5" s="237">
        <f>-K4*$C$5</f>
        <v>-245803.73120624997</v>
      </c>
      <c r="L5" s="237"/>
      <c r="M5" s="237">
        <f>-M4*$C$5</f>
        <v>-251948.8244864062</v>
      </c>
      <c r="N5" s="237"/>
      <c r="O5" s="237">
        <f>-O4*$C$5</f>
        <v>-258247.54509856633</v>
      </c>
      <c r="P5" s="237"/>
      <c r="Q5" s="237">
        <f>-Q4*$C$5</f>
        <v>-264703.73372603045</v>
      </c>
      <c r="R5" s="237"/>
      <c r="S5" s="237">
        <f>-S4*$C$5</f>
        <v>-271321.32706918119</v>
      </c>
      <c r="T5" s="237"/>
      <c r="U5" s="237">
        <f>-U4*$C$5</f>
        <v>-278104.36024591071</v>
      </c>
      <c r="V5" s="237"/>
      <c r="W5" s="237">
        <f>-W4*$C$5</f>
        <v>-285056.96925205848</v>
      </c>
      <c r="X5" s="237"/>
      <c r="Y5" s="237">
        <f>-Y4*$C$5</f>
        <v>-292183.39348335989</v>
      </c>
      <c r="Z5" s="237"/>
      <c r="AA5" s="237">
        <f>-AA4*$C$5</f>
        <v>-299487.97832044389</v>
      </c>
      <c r="AB5" s="237"/>
      <c r="AC5" s="237">
        <f>-AC4*$C$5</f>
        <v>-306975.1777784549</v>
      </c>
      <c r="AD5" s="237"/>
      <c r="AE5" s="237">
        <f>-AE4*$C$5</f>
        <v>-314649.55722291628</v>
      </c>
      <c r="AF5" s="237"/>
      <c r="AG5" s="237">
        <f>-AG4*$C$5</f>
        <v>-322515.79615348921</v>
      </c>
    </row>
    <row r="6" spans="1:34" s="225" customFormat="1" ht="13.8">
      <c r="A6" s="225" t="s">
        <v>865</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3.8">
      <c r="B7" s="225" t="s">
        <v>867</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3.8">
      <c r="A8" s="225" t="s">
        <v>290</v>
      </c>
      <c r="C8" s="253">
        <v>1.0249999999999999</v>
      </c>
      <c r="E8" s="238">
        <f>Application!Z801</f>
        <v>61360</v>
      </c>
      <c r="F8" s="238"/>
      <c r="G8" s="238">
        <f>E8*$C$8</f>
        <v>62893.999999999993</v>
      </c>
      <c r="H8" s="238"/>
      <c r="I8" s="238">
        <f>G8*$C$8</f>
        <v>64466.349999999984</v>
      </c>
      <c r="J8" s="238"/>
      <c r="K8" s="238">
        <f>I8*$C$8</f>
        <v>66078.008749999979</v>
      </c>
      <c r="L8" s="238"/>
      <c r="M8" s="238">
        <f>K8*$C$8</f>
        <v>67729.958968749968</v>
      </c>
      <c r="N8" s="238"/>
      <c r="O8" s="238">
        <f>M8*$C$8</f>
        <v>69423.207942968715</v>
      </c>
      <c r="P8" s="238"/>
      <c r="Q8" s="238">
        <f>O8*$C$8</f>
        <v>71158.788141542929</v>
      </c>
      <c r="R8" s="238"/>
      <c r="S8" s="238">
        <f>Q8*$C$8</f>
        <v>72937.757845081491</v>
      </c>
      <c r="T8" s="238"/>
      <c r="U8" s="238">
        <f>S8*$C$8</f>
        <v>74761.201791208528</v>
      </c>
      <c r="V8" s="238"/>
      <c r="W8" s="238">
        <f>U8*$C$8</f>
        <v>76630.231835988729</v>
      </c>
      <c r="X8" s="238"/>
      <c r="Y8" s="238">
        <f>W8*$C$8</f>
        <v>78545.987631888434</v>
      </c>
      <c r="Z8" s="238"/>
      <c r="AA8" s="238">
        <f>Y8*$C$8</f>
        <v>80509.637322685638</v>
      </c>
      <c r="AB8" s="238"/>
      <c r="AC8" s="238">
        <f>AA8*$C$8</f>
        <v>82522.378255752774</v>
      </c>
      <c r="AD8" s="238"/>
      <c r="AE8" s="238">
        <f>AC8*$C$8</f>
        <v>84585.43771214658</v>
      </c>
      <c r="AF8" s="238"/>
      <c r="AG8" s="238">
        <f>AE8*$C$8</f>
        <v>86700.073654950233</v>
      </c>
    </row>
    <row r="9" spans="1:34" s="225" customFormat="1" ht="13.8">
      <c r="B9" s="225" t="s">
        <v>867</v>
      </c>
      <c r="C9" s="254">
        <f>IF(Application!$D$210="Special Needs",0.1,0.05)</f>
        <v>0.05</v>
      </c>
      <c r="E9" s="237">
        <f>-E8*$C$9</f>
        <v>-3068</v>
      </c>
      <c r="F9" s="237"/>
      <c r="G9" s="237">
        <f>-G8*$C$9</f>
        <v>-3144.7</v>
      </c>
      <c r="H9" s="237"/>
      <c r="I9" s="237">
        <f>-I8*$C$9</f>
        <v>-3223.3174999999992</v>
      </c>
      <c r="J9" s="237"/>
      <c r="K9" s="237">
        <f>-K8*$C$9</f>
        <v>-3303.900437499999</v>
      </c>
      <c r="L9" s="237"/>
      <c r="M9" s="237">
        <f>-M8*$C$9</f>
        <v>-3386.4979484374985</v>
      </c>
      <c r="N9" s="237"/>
      <c r="O9" s="237">
        <f>-O8*$C$9</f>
        <v>-3471.160397148436</v>
      </c>
      <c r="P9" s="237"/>
      <c r="Q9" s="237">
        <f>-Q8*$C$9</f>
        <v>-3557.9394070771468</v>
      </c>
      <c r="R9" s="237"/>
      <c r="S9" s="237">
        <f>-S8*$C$9</f>
        <v>-3646.8878922540748</v>
      </c>
      <c r="T9" s="237"/>
      <c r="U9" s="237">
        <f>-U8*$C$9</f>
        <v>-3738.0600895604266</v>
      </c>
      <c r="V9" s="237"/>
      <c r="W9" s="237">
        <f>-W8*$C$9</f>
        <v>-3831.5115917994367</v>
      </c>
      <c r="X9" s="237"/>
      <c r="Y9" s="237">
        <f>-Y8*$C$9</f>
        <v>-3927.2993815944219</v>
      </c>
      <c r="Z9" s="237"/>
      <c r="AA9" s="237">
        <f>-AA8*$C$9</f>
        <v>-4025.481866134282</v>
      </c>
      <c r="AB9" s="237"/>
      <c r="AC9" s="237">
        <f>-AC8*$C$9</f>
        <v>-4126.1189127876387</v>
      </c>
      <c r="AD9" s="237"/>
      <c r="AE9" s="237">
        <f>-AE8*$C$9</f>
        <v>-4229.2718856073288</v>
      </c>
      <c r="AF9" s="237"/>
      <c r="AG9" s="237">
        <f>-AG8*$C$9</f>
        <v>-4335.0036827475114</v>
      </c>
    </row>
    <row r="10" spans="1:34" s="225" customFormat="1" ht="13.8">
      <c r="A10" s="1196" t="s">
        <v>2515</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3.8">
      <c r="A11" s="239" t="s">
        <v>887</v>
      </c>
      <c r="C11" s="231"/>
      <c r="E11" s="239">
        <f>SUM(E4:E10)</f>
        <v>4395102.8</v>
      </c>
      <c r="G11" s="239">
        <f>SUM(G4:G10)</f>
        <v>4504980.3699999992</v>
      </c>
      <c r="I11" s="239">
        <f>SUM(I4:I10)</f>
        <v>4617604.8792499993</v>
      </c>
      <c r="K11" s="239">
        <f>SUM(K4:K10)</f>
        <v>4733045.0012312485</v>
      </c>
      <c r="M11" s="239">
        <f>SUM(M4:M10)</f>
        <v>4851371.1262620296</v>
      </c>
      <c r="O11" s="239">
        <f>SUM(O4:O10)</f>
        <v>4972655.4044185802</v>
      </c>
      <c r="Q11" s="239">
        <f>SUM(Q4:Q10)</f>
        <v>5096971.7895290451</v>
      </c>
      <c r="S11" s="239">
        <f>SUM(S4:S10)</f>
        <v>5224396.0842672708</v>
      </c>
      <c r="U11" s="239">
        <f>SUM(U4:U10)</f>
        <v>5355005.9863739517</v>
      </c>
      <c r="W11" s="239">
        <f>SUM(W4:W10)</f>
        <v>5488881.1360332994</v>
      </c>
      <c r="Y11" s="239">
        <f>SUM(Y4:Y10)</f>
        <v>5626103.1644341312</v>
      </c>
      <c r="AA11" s="239">
        <f>SUM(AA4:AA10)</f>
        <v>5766755.7435449846</v>
      </c>
      <c r="AC11" s="239">
        <f>SUM(AC4:AC10)</f>
        <v>5910924.6371336095</v>
      </c>
      <c r="AE11" s="239">
        <f>SUM(AE4:AE10)</f>
        <v>6058697.7530619493</v>
      </c>
      <c r="AG11" s="239">
        <f>SUM(AG4:AG10)</f>
        <v>6210165.1968884971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870</v>
      </c>
      <c r="C15" s="185"/>
      <c r="E15" s="235">
        <f>Application!W831</f>
        <v>80000</v>
      </c>
      <c r="G15" s="235">
        <f>E15*$C$14</f>
        <v>82800</v>
      </c>
      <c r="I15" s="235">
        <f>G15*$C$14</f>
        <v>85698</v>
      </c>
      <c r="K15" s="235">
        <f>I15*$C$14</f>
        <v>88697.43</v>
      </c>
      <c r="M15" s="235">
        <f>K15*$C$14</f>
        <v>91801.840049999984</v>
      </c>
      <c r="O15" s="235">
        <f>M15*$C$14</f>
        <v>95014.904451749971</v>
      </c>
      <c r="Q15" s="235">
        <f>O15*$C$14</f>
        <v>98340.426107561216</v>
      </c>
      <c r="S15" s="235">
        <f>Q15*$C$14</f>
        <v>101782.34102132585</v>
      </c>
      <c r="U15" s="235">
        <f>S15*$C$14</f>
        <v>105344.72295707224</v>
      </c>
      <c r="W15" s="235">
        <f>U15*$C$14</f>
        <v>109031.78826056977</v>
      </c>
      <c r="Y15" s="235">
        <f>W15*$C$14</f>
        <v>112847.9008496897</v>
      </c>
      <c r="AA15" s="235">
        <f>Y15*$C$14</f>
        <v>116797.57737942883</v>
      </c>
      <c r="AC15" s="235">
        <f>AA15*$C$14</f>
        <v>120885.49258770882</v>
      </c>
      <c r="AE15" s="235">
        <f>AC15*$C$14</f>
        <v>125116.48482827863</v>
      </c>
      <c r="AG15" s="235">
        <f>AE15*$C$14</f>
        <v>129495.56179726837</v>
      </c>
    </row>
    <row r="16" spans="1:34" s="225" customFormat="1" ht="13.8">
      <c r="A16" s="225" t="s">
        <v>346</v>
      </c>
      <c r="C16" s="249"/>
      <c r="E16" s="238">
        <f>Application!W833</f>
        <v>132460</v>
      </c>
      <c r="F16" s="238"/>
      <c r="G16" s="238">
        <f t="shared" ref="G16:AG21" si="0">E16*$C$14</f>
        <v>137096.09999999998</v>
      </c>
      <c r="H16" s="238"/>
      <c r="I16" s="238">
        <f t="shared" si="0"/>
        <v>141894.46349999995</v>
      </c>
      <c r="J16" s="238"/>
      <c r="K16" s="238">
        <f t="shared" si="0"/>
        <v>146860.76972249994</v>
      </c>
      <c r="L16" s="238"/>
      <c r="M16" s="238">
        <f t="shared" si="0"/>
        <v>152000.89666278742</v>
      </c>
      <c r="N16" s="238"/>
      <c r="O16" s="238">
        <f t="shared" si="0"/>
        <v>157320.92804598497</v>
      </c>
      <c r="P16" s="238"/>
      <c r="Q16" s="238">
        <f t="shared" si="0"/>
        <v>162827.16052759442</v>
      </c>
      <c r="R16" s="238"/>
      <c r="S16" s="238">
        <f t="shared" si="0"/>
        <v>168526.1111460602</v>
      </c>
      <c r="T16" s="238"/>
      <c r="U16" s="238">
        <f t="shared" si="0"/>
        <v>174424.5250361723</v>
      </c>
      <c r="V16" s="238"/>
      <c r="W16" s="238">
        <f t="shared" si="0"/>
        <v>180529.38341243833</v>
      </c>
      <c r="X16" s="238"/>
      <c r="Y16" s="238">
        <f t="shared" si="0"/>
        <v>186847.91183187364</v>
      </c>
      <c r="Z16" s="238"/>
      <c r="AA16" s="238">
        <f t="shared" si="0"/>
        <v>193387.5887459892</v>
      </c>
      <c r="AB16" s="238"/>
      <c r="AC16" s="238">
        <f t="shared" si="0"/>
        <v>200156.15435209879</v>
      </c>
      <c r="AD16" s="238"/>
      <c r="AE16" s="238">
        <f t="shared" si="0"/>
        <v>207161.61975442222</v>
      </c>
      <c r="AF16" s="238"/>
      <c r="AG16" s="238">
        <f t="shared" si="0"/>
        <v>214412.27644582698</v>
      </c>
    </row>
    <row r="17" spans="1:33" s="225" customFormat="1" ht="13.8">
      <c r="A17" s="225" t="s">
        <v>571</v>
      </c>
      <c r="C17" s="249"/>
      <c r="E17" s="238">
        <f>Application!W839</f>
        <v>295000</v>
      </c>
      <c r="F17" s="238"/>
      <c r="G17" s="238">
        <f t="shared" si="0"/>
        <v>305325</v>
      </c>
      <c r="H17" s="238"/>
      <c r="I17" s="238">
        <f t="shared" si="0"/>
        <v>316011.375</v>
      </c>
      <c r="J17" s="238"/>
      <c r="K17" s="238">
        <f t="shared" si="0"/>
        <v>327071.77312499995</v>
      </c>
      <c r="L17" s="238"/>
      <c r="M17" s="238">
        <f t="shared" si="0"/>
        <v>338519.28518437489</v>
      </c>
      <c r="N17" s="238"/>
      <c r="O17" s="238">
        <f t="shared" si="0"/>
        <v>350367.460165828</v>
      </c>
      <c r="P17" s="238"/>
      <c r="Q17" s="238">
        <f t="shared" si="0"/>
        <v>362630.32127163192</v>
      </c>
      <c r="R17" s="238"/>
      <c r="S17" s="238">
        <f t="shared" si="0"/>
        <v>375322.38251613901</v>
      </c>
      <c r="T17" s="238"/>
      <c r="U17" s="238">
        <f t="shared" si="0"/>
        <v>388458.66590420384</v>
      </c>
      <c r="V17" s="238"/>
      <c r="W17" s="238">
        <f t="shared" si="0"/>
        <v>402054.71921085095</v>
      </c>
      <c r="X17" s="238"/>
      <c r="Y17" s="238">
        <f t="shared" si="0"/>
        <v>416126.6343832307</v>
      </c>
      <c r="Z17" s="238"/>
      <c r="AA17" s="238">
        <f t="shared" si="0"/>
        <v>430691.06658664375</v>
      </c>
      <c r="AB17" s="238"/>
      <c r="AC17" s="238">
        <f t="shared" si="0"/>
        <v>445765.25391717622</v>
      </c>
      <c r="AD17" s="238"/>
      <c r="AE17" s="238">
        <f t="shared" si="0"/>
        <v>461367.03780427732</v>
      </c>
      <c r="AF17" s="238"/>
      <c r="AG17" s="238">
        <f t="shared" si="0"/>
        <v>477514.88412742701</v>
      </c>
    </row>
    <row r="18" spans="1:33" s="225" customFormat="1" ht="13.8">
      <c r="A18" s="225" t="s">
        <v>871</v>
      </c>
      <c r="C18" s="249"/>
      <c r="E18" s="238">
        <f>Application!W846</f>
        <v>325000</v>
      </c>
      <c r="F18" s="238"/>
      <c r="G18" s="238">
        <f t="shared" si="0"/>
        <v>336375</v>
      </c>
      <c r="H18" s="238"/>
      <c r="I18" s="238">
        <f t="shared" si="0"/>
        <v>348148.125</v>
      </c>
      <c r="J18" s="238"/>
      <c r="K18" s="238">
        <f t="shared" si="0"/>
        <v>360333.30937499995</v>
      </c>
      <c r="L18" s="238"/>
      <c r="M18" s="238">
        <f t="shared" si="0"/>
        <v>372944.97520312492</v>
      </c>
      <c r="N18" s="238"/>
      <c r="O18" s="238">
        <f t="shared" si="0"/>
        <v>385998.04933523427</v>
      </c>
      <c r="P18" s="238"/>
      <c r="Q18" s="238">
        <f t="shared" si="0"/>
        <v>399507.98106196744</v>
      </c>
      <c r="R18" s="238"/>
      <c r="S18" s="238">
        <f t="shared" si="0"/>
        <v>413490.76039913628</v>
      </c>
      <c r="T18" s="238"/>
      <c r="U18" s="238">
        <f t="shared" si="0"/>
        <v>427962.93701310601</v>
      </c>
      <c r="V18" s="238"/>
      <c r="W18" s="238">
        <f t="shared" si="0"/>
        <v>442941.63980856468</v>
      </c>
      <c r="X18" s="238"/>
      <c r="Y18" s="238">
        <f t="shared" si="0"/>
        <v>458444.59720186441</v>
      </c>
      <c r="Z18" s="238"/>
      <c r="AA18" s="238">
        <f t="shared" si="0"/>
        <v>474490.1581039296</v>
      </c>
      <c r="AB18" s="238"/>
      <c r="AC18" s="238">
        <f t="shared" si="0"/>
        <v>491097.3136375671</v>
      </c>
      <c r="AD18" s="238"/>
      <c r="AE18" s="238">
        <f t="shared" si="0"/>
        <v>508285.71961488191</v>
      </c>
      <c r="AF18" s="238"/>
      <c r="AG18" s="238">
        <f t="shared" si="0"/>
        <v>526075.71980140277</v>
      </c>
    </row>
    <row r="19" spans="1:33" s="225" customFormat="1" ht="13.8">
      <c r="A19" s="225" t="s">
        <v>156</v>
      </c>
      <c r="C19" s="249"/>
      <c r="E19" s="238">
        <f>Application!W847</f>
        <v>100000</v>
      </c>
      <c r="F19" s="238"/>
      <c r="G19" s="238">
        <f t="shared" si="0"/>
        <v>103499.99999999999</v>
      </c>
      <c r="H19" s="238"/>
      <c r="I19" s="238">
        <f t="shared" si="0"/>
        <v>107122.49999999997</v>
      </c>
      <c r="J19" s="238"/>
      <c r="K19" s="238">
        <f t="shared" si="0"/>
        <v>110871.78749999996</v>
      </c>
      <c r="L19" s="238"/>
      <c r="M19" s="238">
        <f t="shared" si="0"/>
        <v>114752.30006249995</v>
      </c>
      <c r="N19" s="238"/>
      <c r="O19" s="238">
        <f t="shared" si="0"/>
        <v>118768.63056468744</v>
      </c>
      <c r="P19" s="238"/>
      <c r="Q19" s="238">
        <f t="shared" si="0"/>
        <v>122925.53263445149</v>
      </c>
      <c r="R19" s="238"/>
      <c r="S19" s="238">
        <f t="shared" si="0"/>
        <v>127227.92627665728</v>
      </c>
      <c r="T19" s="238"/>
      <c r="U19" s="238">
        <f t="shared" si="0"/>
        <v>131680.90369634028</v>
      </c>
      <c r="V19" s="238"/>
      <c r="W19" s="238">
        <f t="shared" si="0"/>
        <v>136289.73532571219</v>
      </c>
      <c r="X19" s="238"/>
      <c r="Y19" s="238">
        <f t="shared" si="0"/>
        <v>141059.8760621121</v>
      </c>
      <c r="Z19" s="238"/>
      <c r="AA19" s="238">
        <f t="shared" si="0"/>
        <v>145996.97172428601</v>
      </c>
      <c r="AB19" s="238"/>
      <c r="AC19" s="238">
        <f t="shared" si="0"/>
        <v>151106.865734636</v>
      </c>
      <c r="AD19" s="238"/>
      <c r="AE19" s="238">
        <f t="shared" si="0"/>
        <v>156395.60603534823</v>
      </c>
      <c r="AF19" s="238"/>
      <c r="AG19" s="238">
        <f t="shared" si="0"/>
        <v>161869.4522465854</v>
      </c>
    </row>
    <row r="20" spans="1:33" s="225" customFormat="1" ht="13.8">
      <c r="A20" s="225" t="s">
        <v>392</v>
      </c>
      <c r="C20" s="249"/>
      <c r="E20" s="238">
        <f>Application!W856</f>
        <v>172200</v>
      </c>
      <c r="F20" s="238"/>
      <c r="G20" s="238">
        <f t="shared" si="0"/>
        <v>178227</v>
      </c>
      <c r="H20" s="238"/>
      <c r="I20" s="238">
        <f t="shared" si="0"/>
        <v>184464.94499999998</v>
      </c>
      <c r="J20" s="238"/>
      <c r="K20" s="238">
        <f t="shared" si="0"/>
        <v>190921.21807499995</v>
      </c>
      <c r="L20" s="238"/>
      <c r="M20" s="238">
        <f t="shared" si="0"/>
        <v>197603.46070762494</v>
      </c>
      <c r="N20" s="238"/>
      <c r="O20" s="238">
        <f t="shared" si="0"/>
        <v>204519.58183239179</v>
      </c>
      <c r="P20" s="238"/>
      <c r="Q20" s="238">
        <f t="shared" si="0"/>
        <v>211677.7671965255</v>
      </c>
      <c r="R20" s="238"/>
      <c r="S20" s="238">
        <f t="shared" si="0"/>
        <v>219086.48904840386</v>
      </c>
      <c r="T20" s="238"/>
      <c r="U20" s="238">
        <f t="shared" si="0"/>
        <v>226754.51616509797</v>
      </c>
      <c r="V20" s="238"/>
      <c r="W20" s="238">
        <f t="shared" si="0"/>
        <v>234690.92423087638</v>
      </c>
      <c r="X20" s="238"/>
      <c r="Y20" s="238">
        <f t="shared" si="0"/>
        <v>242905.10657895703</v>
      </c>
      <c r="Z20" s="238"/>
      <c r="AA20" s="238">
        <f t="shared" si="0"/>
        <v>251406.78530922049</v>
      </c>
      <c r="AB20" s="238"/>
      <c r="AC20" s="238">
        <f t="shared" si="0"/>
        <v>260206.02279504319</v>
      </c>
      <c r="AD20" s="238"/>
      <c r="AE20" s="238">
        <f t="shared" si="0"/>
        <v>269313.23359286966</v>
      </c>
      <c r="AF20" s="238"/>
      <c r="AG20" s="238">
        <f t="shared" si="0"/>
        <v>278739.19676862005</v>
      </c>
    </row>
    <row r="21" spans="1:33" s="225" customFormat="1" ht="13.8">
      <c r="A21" s="242" t="s">
        <v>2739</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v>141837</v>
      </c>
      <c r="R21" s="238"/>
      <c r="S21" s="248">
        <f>Q21</f>
        <v>141837</v>
      </c>
      <c r="T21" s="238"/>
      <c r="U21" s="248">
        <f>S21</f>
        <v>141837</v>
      </c>
      <c r="V21" s="238"/>
      <c r="W21" s="248">
        <f>U21</f>
        <v>141837</v>
      </c>
      <c r="X21" s="238"/>
      <c r="Y21" s="248">
        <f>W21</f>
        <v>141837</v>
      </c>
      <c r="Z21" s="238"/>
      <c r="AA21" s="248">
        <f>Y21</f>
        <v>141837</v>
      </c>
      <c r="AB21" s="238"/>
      <c r="AC21" s="248">
        <f>AA21</f>
        <v>141837</v>
      </c>
      <c r="AD21" s="238"/>
      <c r="AE21" s="248">
        <f>AC21</f>
        <v>141837</v>
      </c>
      <c r="AF21" s="238"/>
      <c r="AG21" s="248">
        <f>AE21</f>
        <v>141837</v>
      </c>
    </row>
    <row r="22" spans="1:33" s="239" customFormat="1" ht="13.8">
      <c r="A22" s="239" t="s">
        <v>872</v>
      </c>
      <c r="C22" s="249"/>
      <c r="E22" s="239">
        <f>SUM(E15:E21)</f>
        <v>1104660</v>
      </c>
      <c r="G22" s="239">
        <f>SUM(G15:G21)</f>
        <v>1143323.1000000001</v>
      </c>
      <c r="I22" s="239">
        <f>SUM(I15:I21)</f>
        <v>1183339.4084999999</v>
      </c>
      <c r="K22" s="239">
        <f>SUM(K15:K21)</f>
        <v>1224756.2877974997</v>
      </c>
      <c r="M22" s="239">
        <f>SUM(M15:M21)</f>
        <v>1267622.7578704122</v>
      </c>
      <c r="O22" s="239">
        <f>SUM(O15:O21)</f>
        <v>1311989.5543958764</v>
      </c>
      <c r="Q22" s="239">
        <f>SUM(Q15:Q21)</f>
        <v>1499746.1887997321</v>
      </c>
      <c r="S22" s="239">
        <f>SUM(S15:S21)</f>
        <v>1547273.0104077226</v>
      </c>
      <c r="U22" s="239">
        <f>SUM(U15:U21)</f>
        <v>1596463.2707719926</v>
      </c>
      <c r="W22" s="239">
        <f>SUM(W15:W21)</f>
        <v>1647375.1902490123</v>
      </c>
      <c r="Y22" s="239">
        <f>SUM(Y15:Y21)</f>
        <v>1700069.0269077276</v>
      </c>
      <c r="AA22" s="239">
        <f>SUM(AA15:AA21)</f>
        <v>1754607.1478494979</v>
      </c>
      <c r="AC22" s="239">
        <f>SUM(AC15:AC21)</f>
        <v>1811054.1030242303</v>
      </c>
      <c r="AE22" s="239">
        <f>SUM(AE15:AE21)</f>
        <v>1869476.701630078</v>
      </c>
      <c r="AG22" s="239">
        <f>SUM(AG15:AG21)</f>
        <v>1929944.0911871307</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1940</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1300</v>
      </c>
      <c r="C26" s="253">
        <v>1.0349999999999999</v>
      </c>
      <c r="E26" s="238">
        <f>Application!AC871</f>
        <v>54720</v>
      </c>
      <c r="F26" s="238"/>
      <c r="G26" s="238">
        <f>E26*$C$26</f>
        <v>56635.199999999997</v>
      </c>
      <c r="H26" s="238"/>
      <c r="I26" s="238">
        <f>G26*$C$26</f>
        <v>58617.431999999993</v>
      </c>
      <c r="J26" s="238"/>
      <c r="K26" s="238">
        <f>I26*$C$26</f>
        <v>60669.042119999991</v>
      </c>
      <c r="L26" s="238"/>
      <c r="M26" s="238">
        <f>K26*$C$26</f>
        <v>62792.458594199983</v>
      </c>
      <c r="N26" s="238"/>
      <c r="O26" s="238">
        <f>M26*$C$26</f>
        <v>64990.194644996976</v>
      </c>
      <c r="P26" s="238"/>
      <c r="Q26" s="238">
        <f>O26*$C$26</f>
        <v>67264.851457571858</v>
      </c>
      <c r="R26" s="238"/>
      <c r="S26" s="238">
        <f>Q26*$C$26</f>
        <v>69619.121258586863</v>
      </c>
      <c r="T26" s="238"/>
      <c r="U26" s="238">
        <f>S26*$C$26</f>
        <v>72055.790502637392</v>
      </c>
      <c r="V26" s="238"/>
      <c r="W26" s="238">
        <f>U26*$C$26</f>
        <v>74577.743170229689</v>
      </c>
      <c r="X26" s="238"/>
      <c r="Y26" s="238">
        <f>W26*$C$26</f>
        <v>77187.964181187723</v>
      </c>
      <c r="Z26" s="238"/>
      <c r="AA26" s="238">
        <f>Y26*$C$26</f>
        <v>79889.542927529284</v>
      </c>
      <c r="AB26" s="238"/>
      <c r="AC26" s="238">
        <f>AA26*$C$26</f>
        <v>82685.676929992798</v>
      </c>
      <c r="AD26" s="238"/>
      <c r="AE26" s="238">
        <f>AC26*$C$26</f>
        <v>85579.675622542534</v>
      </c>
      <c r="AF26" s="238"/>
      <c r="AG26" s="238">
        <f>AE26*$C$26</f>
        <v>88574.964269331511</v>
      </c>
    </row>
    <row r="27" spans="1:33" s="225" customFormat="1" ht="13.8">
      <c r="A27" s="225" t="s">
        <v>874</v>
      </c>
      <c r="C27" s="253">
        <v>1.0349999999999999</v>
      </c>
      <c r="E27" s="238">
        <f>Application!AC872</f>
        <v>29400</v>
      </c>
      <c r="F27" s="238"/>
      <c r="G27" s="238">
        <f>E27*$C$27</f>
        <v>30428.999999999996</v>
      </c>
      <c r="H27" s="238"/>
      <c r="I27" s="238">
        <f>G27*$C$27</f>
        <v>31494.014999999992</v>
      </c>
      <c r="J27" s="238"/>
      <c r="K27" s="238">
        <f>I27*$C$27</f>
        <v>32596.305524999989</v>
      </c>
      <c r="L27" s="238"/>
      <c r="M27" s="238">
        <f>K27*$C$27</f>
        <v>33737.176218374989</v>
      </c>
      <c r="N27" s="238"/>
      <c r="O27" s="238">
        <f>M27*$C$27</f>
        <v>34917.977386018109</v>
      </c>
      <c r="P27" s="238"/>
      <c r="Q27" s="238">
        <f>O27*$C$27</f>
        <v>36140.106594528741</v>
      </c>
      <c r="R27" s="238"/>
      <c r="S27" s="238">
        <f>Q27*$C$27</f>
        <v>37405.010325337244</v>
      </c>
      <c r="T27" s="238"/>
      <c r="U27" s="238">
        <f>S27*$C$27</f>
        <v>38714.185686724042</v>
      </c>
      <c r="V27" s="238"/>
      <c r="W27" s="238">
        <f>U27*$C$27</f>
        <v>40069.182185759382</v>
      </c>
      <c r="X27" s="238"/>
      <c r="Y27" s="238">
        <f>W27*$C$27</f>
        <v>41471.603562260956</v>
      </c>
      <c r="Z27" s="238"/>
      <c r="AA27" s="238">
        <f>Y27*$C$27</f>
        <v>42923.109686940086</v>
      </c>
      <c r="AB27" s="238"/>
      <c r="AC27" s="238">
        <f>AA27*$C$27</f>
        <v>44425.418525982983</v>
      </c>
      <c r="AD27" s="238"/>
      <c r="AE27" s="238">
        <f>AC27*$C$27</f>
        <v>45980.308174392383</v>
      </c>
      <c r="AF27" s="238"/>
      <c r="AG27" s="238">
        <f>AE27*$C$27</f>
        <v>47589.618960496111</v>
      </c>
    </row>
    <row r="28" spans="1:33" s="225" customFormat="1" ht="13.8">
      <c r="A28" s="225" t="s">
        <v>875</v>
      </c>
      <c r="C28" s="253"/>
      <c r="E28" s="238">
        <f>Application!AC873</f>
        <v>68400</v>
      </c>
      <c r="F28" s="238"/>
      <c r="G28" s="238">
        <f>$E$28</f>
        <v>68400</v>
      </c>
      <c r="H28" s="238"/>
      <c r="I28" s="238">
        <f>$E$28</f>
        <v>68400</v>
      </c>
      <c r="J28" s="238"/>
      <c r="K28" s="238">
        <f>$E$28</f>
        <v>68400</v>
      </c>
      <c r="L28" s="238"/>
      <c r="M28" s="238">
        <f>$E$28</f>
        <v>68400</v>
      </c>
      <c r="N28" s="238"/>
      <c r="O28" s="238">
        <f>$E$28</f>
        <v>68400</v>
      </c>
      <c r="P28" s="238"/>
      <c r="Q28" s="238">
        <f>$E$28</f>
        <v>68400</v>
      </c>
      <c r="R28" s="238"/>
      <c r="S28" s="238">
        <f>$E$28</f>
        <v>68400</v>
      </c>
      <c r="T28" s="238"/>
      <c r="U28" s="238">
        <f>$E$28</f>
        <v>68400</v>
      </c>
      <c r="V28" s="238"/>
      <c r="W28" s="238">
        <f>$E$28</f>
        <v>68400</v>
      </c>
      <c r="X28" s="238"/>
      <c r="Y28" s="238">
        <f>$E$28</f>
        <v>68400</v>
      </c>
      <c r="Z28" s="238"/>
      <c r="AA28" s="238">
        <f>$E$28</f>
        <v>68400</v>
      </c>
      <c r="AB28" s="238"/>
      <c r="AC28" s="238">
        <f>$E$28</f>
        <v>68400</v>
      </c>
      <c r="AD28" s="238"/>
      <c r="AE28" s="238">
        <f>$E$28</f>
        <v>68400</v>
      </c>
      <c r="AF28" s="238"/>
      <c r="AG28" s="238">
        <f>$E$28</f>
        <v>68400</v>
      </c>
    </row>
    <row r="29" spans="1:33" s="225" customFormat="1" ht="13.8">
      <c r="A29" s="225" t="s">
        <v>1938</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3.8">
      <c r="A30" s="225" t="s">
        <v>873</v>
      </c>
      <c r="C30" s="253">
        <v>1.02</v>
      </c>
      <c r="E30" s="238">
        <f>Application!AC875</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3.8">
      <c r="A31" s="225" t="s">
        <v>1939</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3.8">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179</v>
      </c>
      <c r="C35" s="240"/>
      <c r="E35" s="239">
        <f>SUM(E22:E33)</f>
        <v>1257180</v>
      </c>
      <c r="G35" s="239">
        <f>SUM(G22:G33)</f>
        <v>1298787.3</v>
      </c>
      <c r="I35" s="239">
        <f>SUM(I22:I33)</f>
        <v>1341850.8554999998</v>
      </c>
      <c r="K35" s="239">
        <f>SUM(K22:K33)</f>
        <v>1386421.6354424995</v>
      </c>
      <c r="M35" s="239">
        <f>SUM(M22:M33)</f>
        <v>1432552.3926829873</v>
      </c>
      <c r="O35" s="239">
        <f>SUM(O22:O33)</f>
        <v>1480297.7264268913</v>
      </c>
      <c r="Q35" s="239">
        <f>SUM(Q22:Q33)</f>
        <v>1671551.1468518327</v>
      </c>
      <c r="S35" s="239">
        <f>SUM(S22:S33)</f>
        <v>1722697.1419916467</v>
      </c>
      <c r="U35" s="239">
        <f>SUM(U22:U33)</f>
        <v>1775633.246961354</v>
      </c>
      <c r="W35" s="239">
        <f>SUM(W22:W33)</f>
        <v>1830422.1156050013</v>
      </c>
      <c r="Y35" s="239">
        <f>SUM(Y22:Y33)</f>
        <v>1887128.5946511764</v>
      </c>
      <c r="AA35" s="239">
        <f>SUM(AA22:AA33)</f>
        <v>1945819.800463967</v>
      </c>
      <c r="AC35" s="239">
        <f>SUM(AC22:AC33)</f>
        <v>2006565.1984802061</v>
      </c>
      <c r="AE35" s="239">
        <f>SUM(AE22:AE33)</f>
        <v>2069436.6854270131</v>
      </c>
      <c r="AG35" s="239">
        <f>SUM(AG22:AG33)</f>
        <v>2134508.6744169584</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876</v>
      </c>
      <c r="C37" s="240"/>
      <c r="E37" s="239">
        <f>E11-E35</f>
        <v>3137922.8</v>
      </c>
      <c r="G37" s="239">
        <f>G11-G35</f>
        <v>3206193.0699999994</v>
      </c>
      <c r="I37" s="239">
        <f>I11-I35</f>
        <v>3275754.0237499997</v>
      </c>
      <c r="K37" s="239">
        <f>K11-K35</f>
        <v>3346623.365788749</v>
      </c>
      <c r="M37" s="239">
        <f>M11-M35</f>
        <v>3418818.7335790424</v>
      </c>
      <c r="O37" s="239">
        <f>O11-O35</f>
        <v>3492357.6779916892</v>
      </c>
      <c r="Q37" s="239">
        <f>Q11-Q35</f>
        <v>3425420.6426772121</v>
      </c>
      <c r="S37" s="239">
        <f>S11-S35</f>
        <v>3501698.9422756238</v>
      </c>
      <c r="U37" s="239">
        <f>U11-U35</f>
        <v>3579372.7394125974</v>
      </c>
      <c r="W37" s="239">
        <f>W11-W35</f>
        <v>3658459.020428298</v>
      </c>
      <c r="Y37" s="239">
        <f>Y11-Y35</f>
        <v>3738974.5697829546</v>
      </c>
      <c r="AA37" s="239">
        <f>AA11-AA35</f>
        <v>3820935.9430810176</v>
      </c>
      <c r="AC37" s="239">
        <f>AC11-AC35</f>
        <v>3904359.4386534034</v>
      </c>
      <c r="AE37" s="239">
        <f>AE11-AE35</f>
        <v>3989261.0676349364</v>
      </c>
      <c r="AG37" s="239">
        <f>AG11-AG35</f>
        <v>4075656.5224715387</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Application!C623</f>
        <v>Citibank, N.A</v>
      </c>
      <c r="B40" s="242"/>
      <c r="C40" s="236"/>
      <c r="E40" s="238">
        <f>Application!AF623</f>
        <v>2729045</v>
      </c>
      <c r="F40" s="238"/>
      <c r="G40" s="238">
        <f>$E$40</f>
        <v>2729045</v>
      </c>
      <c r="H40" s="238"/>
      <c r="I40" s="238">
        <f>$E$40</f>
        <v>2729045</v>
      </c>
      <c r="J40" s="238"/>
      <c r="K40" s="238">
        <f>$E$40</f>
        <v>2729045</v>
      </c>
      <c r="L40" s="238"/>
      <c r="M40" s="238">
        <f>$E$40</f>
        <v>2729045</v>
      </c>
      <c r="N40" s="238"/>
      <c r="O40" s="238">
        <f>$E$40</f>
        <v>2729045</v>
      </c>
      <c r="P40" s="238"/>
      <c r="Q40" s="238">
        <f>$E$40</f>
        <v>2729045</v>
      </c>
      <c r="R40" s="238"/>
      <c r="S40" s="238">
        <f>$E$40</f>
        <v>2729045</v>
      </c>
      <c r="T40" s="238"/>
      <c r="U40" s="238">
        <f>$E$40</f>
        <v>2729045</v>
      </c>
      <c r="V40" s="238"/>
      <c r="W40" s="238">
        <f>$E$40</f>
        <v>2729045</v>
      </c>
      <c r="X40" s="238"/>
      <c r="Y40" s="238">
        <f>$E$40</f>
        <v>2729045</v>
      </c>
      <c r="Z40" s="238"/>
      <c r="AA40" s="238">
        <f>$E$40</f>
        <v>2729045</v>
      </c>
      <c r="AB40" s="238"/>
      <c r="AC40" s="238">
        <f>$E$40</f>
        <v>2729045</v>
      </c>
      <c r="AD40" s="238"/>
      <c r="AE40" s="238">
        <f>$E$40</f>
        <v>2729045</v>
      </c>
      <c r="AF40" s="238"/>
      <c r="AG40" s="238">
        <f>$E$40</f>
        <v>2729045</v>
      </c>
    </row>
    <row r="41" spans="1:33" s="225" customFormat="1" ht="13.8">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8">
      <c r="A43" s="239" t="s">
        <v>877</v>
      </c>
      <c r="C43" s="240"/>
      <c r="E43" s="239">
        <f>SUM(E40:E42)</f>
        <v>2729045</v>
      </c>
      <c r="G43" s="239">
        <f>SUM(G40:G42)</f>
        <v>2729045</v>
      </c>
      <c r="I43" s="239">
        <f>SUM(I40:I42)</f>
        <v>2729045</v>
      </c>
      <c r="K43" s="239">
        <f>SUM(K40:K42)</f>
        <v>2729045</v>
      </c>
      <c r="M43" s="239">
        <f>SUM(M40:M42)</f>
        <v>2729045</v>
      </c>
      <c r="O43" s="239">
        <f>SUM(O40:O42)</f>
        <v>2729045</v>
      </c>
      <c r="Q43" s="239">
        <f>SUM(Q40:Q42)</f>
        <v>2729045</v>
      </c>
      <c r="S43" s="239">
        <f>SUM(S40:S42)</f>
        <v>2729045</v>
      </c>
      <c r="U43" s="239">
        <f>SUM(U40:U42)</f>
        <v>2729045</v>
      </c>
      <c r="W43" s="239">
        <f>SUM(W40:W42)</f>
        <v>2729045</v>
      </c>
      <c r="Y43" s="239">
        <f>SUM(Y40:Y42)</f>
        <v>2729045</v>
      </c>
      <c r="AA43" s="239">
        <f>SUM(AA40:AA42)</f>
        <v>2729045</v>
      </c>
      <c r="AC43" s="239">
        <f>SUM(AC40:AC42)</f>
        <v>2729045</v>
      </c>
      <c r="AE43" s="239">
        <f>SUM(AE40:AE42)</f>
        <v>2729045</v>
      </c>
      <c r="AG43" s="239">
        <f>SUM(AG40:AG42)</f>
        <v>2729045</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878</v>
      </c>
      <c r="C45" s="240"/>
      <c r="E45" s="239">
        <f>E37-E43</f>
        <v>408877.79999999981</v>
      </c>
      <c r="G45" s="239">
        <f>G37-G43</f>
        <v>477148.06999999937</v>
      </c>
      <c r="I45" s="239">
        <f>I37-I43</f>
        <v>546709.0237499997</v>
      </c>
      <c r="K45" s="239">
        <f>K37-K43</f>
        <v>617578.36578874895</v>
      </c>
      <c r="M45" s="239">
        <f>M37-M43</f>
        <v>689773.73357904237</v>
      </c>
      <c r="O45" s="239">
        <f>O37-O43</f>
        <v>763312.67799168918</v>
      </c>
      <c r="Q45" s="239">
        <f>Q37-Q43</f>
        <v>696375.64267721213</v>
      </c>
      <c r="S45" s="239">
        <f>S37-S43</f>
        <v>772653.94227562379</v>
      </c>
      <c r="U45" s="239">
        <f>U37-U43</f>
        <v>850327.73941259738</v>
      </c>
      <c r="W45" s="239">
        <f>W37-W43</f>
        <v>929414.02042829804</v>
      </c>
      <c r="Y45" s="239">
        <f>Y37-Y43</f>
        <v>1009929.5697829546</v>
      </c>
      <c r="AA45" s="239">
        <f>AA37-AA43</f>
        <v>1091890.9430810176</v>
      </c>
      <c r="AC45" s="239">
        <f>AC37-AC43</f>
        <v>1175314.4386534034</v>
      </c>
      <c r="AE45" s="239">
        <f>AE37-AE43</f>
        <v>1260216.0676349364</v>
      </c>
      <c r="AG45" s="239">
        <f>AG37-AG43</f>
        <v>1346611.5224715387</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880</v>
      </c>
      <c r="C47" s="236"/>
      <c r="E47" s="243">
        <f>E45/(E4+E6+E8)</f>
        <v>8.8378799694969548E-2</v>
      </c>
      <c r="G47" s="243">
        <f>G45/(G4+G6+G8)</f>
        <v>0.10061989826162093</v>
      </c>
      <c r="I47" s="243">
        <f>I45/(I4+I6+I8)</f>
        <v>0.11247683293483904</v>
      </c>
      <c r="K47" s="243">
        <f>K45/(K4+K6+K8)</f>
        <v>0.12395813843871929</v>
      </c>
      <c r="M47" s="243">
        <f>M45/(M4+M6+M8)</f>
        <v>0.13507213318577541</v>
      </c>
      <c r="O47" s="243">
        <f>O45/(O4+O6+O8)</f>
        <v>0.14582692447334208</v>
      </c>
      <c r="Q47" s="243">
        <f>Q45/(Q4+Q6+Q8)</f>
        <v>0.12979409890053145</v>
      </c>
      <c r="S47" s="243">
        <f>S45/(S4+S6+S8)</f>
        <v>0.140498774082668</v>
      </c>
      <c r="U47" s="243">
        <f>U45/(U4+U6+U8)</f>
        <v>0.15085162453552417</v>
      </c>
      <c r="W47" s="243">
        <f>W45/(W4+W6+W8)</f>
        <v>0.16086034612966094</v>
      </c>
      <c r="Y47" s="243">
        <f>Y45/(Y4+Y6+Y8)</f>
        <v>0.17053243839518287</v>
      </c>
      <c r="AA47" s="243">
        <f>AA45/(AA4+AA6+AA8)</f>
        <v>0.17987520922627317</v>
      </c>
      <c r="AC47" s="243">
        <f>AC45/(AC4+AC6+AC8)</f>
        <v>0.18889577947016128</v>
      </c>
      <c r="AE47" s="243">
        <f>AE45/(AE4+AE6+AE8)</f>
        <v>0.19760108740333601</v>
      </c>
      <c r="AG47" s="243">
        <f>AG45/(AG4+AG6+AG8)</f>
        <v>0.20599789309774316</v>
      </c>
    </row>
    <row r="48" spans="1:33" s="243" customFormat="1" ht="13.8">
      <c r="A48" s="243" t="s">
        <v>881</v>
      </c>
      <c r="C48" s="236"/>
      <c r="E48" s="243">
        <f>E45/E43</f>
        <v>0.14982449904636963</v>
      </c>
      <c r="G48" s="243">
        <f>G45/G43</f>
        <v>0.17484067503467307</v>
      </c>
      <c r="I48" s="243">
        <f>I45/I43</f>
        <v>0.20032979439694096</v>
      </c>
      <c r="K48" s="243">
        <f>K45/K43</f>
        <v>0.22629834458162065</v>
      </c>
      <c r="M48" s="243">
        <f>M45/M43</f>
        <v>0.25275278845861548</v>
      </c>
      <c r="O48" s="243">
        <f>O45/O43</f>
        <v>0.279699557168053</v>
      </c>
      <c r="Q48" s="243">
        <f>Q45/Q43</f>
        <v>0.25517191643128351</v>
      </c>
      <c r="S48" s="243">
        <f>S45/S43</f>
        <v>0.28312246308713263</v>
      </c>
      <c r="U48" s="243">
        <f>U45/U43</f>
        <v>0.31158435988142275</v>
      </c>
      <c r="W48" s="243">
        <f>W45/W43</f>
        <v>0.34056383109413663</v>
      </c>
      <c r="Y48" s="243">
        <f>Y45/Y43</f>
        <v>0.37006702703068461</v>
      </c>
      <c r="AA48" s="243">
        <f>AA45/AA43</f>
        <v>0.40010001413718632</v>
      </c>
      <c r="AC48" s="243">
        <f>AC45/AC43</f>
        <v>0.43066876458739356</v>
      </c>
      <c r="AE48" s="243">
        <f>AE45/AE43</f>
        <v>0.46177914531821074</v>
      </c>
      <c r="AG48" s="243">
        <f>AG45/AG43</f>
        <v>0.49343690648983024</v>
      </c>
    </row>
    <row r="49" spans="1:35" s="244" customFormat="1" ht="13.8">
      <c r="A49" s="244" t="s">
        <v>879</v>
      </c>
      <c r="C49" s="245"/>
      <c r="E49" s="244">
        <f>E37/E43</f>
        <v>1.1498244990463697</v>
      </c>
      <c r="G49" s="244">
        <f>G37/G43</f>
        <v>1.1748406750346732</v>
      </c>
      <c r="I49" s="244">
        <f>I37/I43</f>
        <v>1.2003297943969409</v>
      </c>
      <c r="K49" s="244">
        <f>K37/K43</f>
        <v>1.2262983445816207</v>
      </c>
      <c r="M49" s="244">
        <f>M37/M43</f>
        <v>1.2527527884586156</v>
      </c>
      <c r="O49" s="244">
        <f>O37/O43</f>
        <v>1.2796995571680529</v>
      </c>
      <c r="Q49" s="244">
        <f>Q37/Q43</f>
        <v>1.2551719164312836</v>
      </c>
      <c r="S49" s="244">
        <f>S37/S43</f>
        <v>1.2831224630871325</v>
      </c>
      <c r="U49" s="244">
        <f>U37/U43</f>
        <v>1.3115843598814227</v>
      </c>
      <c r="W49" s="244">
        <f>W37/W43</f>
        <v>1.3405638310941366</v>
      </c>
      <c r="Y49" s="244">
        <f>Y37/Y43</f>
        <v>1.3700670270306845</v>
      </c>
      <c r="AA49" s="244">
        <f>AA37/AA43</f>
        <v>1.4001000141371862</v>
      </c>
      <c r="AC49" s="244">
        <f>AC37/AC43</f>
        <v>1.4306687645873934</v>
      </c>
      <c r="AE49" s="244">
        <f>AE37/AE43</f>
        <v>1.4617791453182107</v>
      </c>
      <c r="AG49" s="244">
        <f>AG37/AG43</f>
        <v>1.4934369064898303</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4" t="s">
        <v>1326</v>
      </c>
      <c r="B52" s="2534"/>
      <c r="C52" s="2534"/>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v>1.03</v>
      </c>
      <c r="E53" s="1001">
        <v>5000</v>
      </c>
      <c r="G53" s="997">
        <f>E53*$C$53</f>
        <v>5150</v>
      </c>
      <c r="I53" s="997">
        <f>G53*$C$53</f>
        <v>5304.5</v>
      </c>
      <c r="K53" s="997">
        <f>I53*$C$53</f>
        <v>5463.6350000000002</v>
      </c>
      <c r="M53" s="997">
        <f>K53*$C$53</f>
        <v>5627.5440500000004</v>
      </c>
      <c r="O53" s="997">
        <f>M53*$C$53</f>
        <v>5796.3703715000001</v>
      </c>
      <c r="Q53" s="997">
        <f>O53*$C$53</f>
        <v>5970.2614826449999</v>
      </c>
      <c r="S53" s="997">
        <f>Q53*$C$53</f>
        <v>6149.3693271243501</v>
      </c>
      <c r="U53" s="997">
        <f>S53*$C$53</f>
        <v>6333.8504069380806</v>
      </c>
      <c r="W53" s="997">
        <f>U53*$C$53</f>
        <v>6523.865919146223</v>
      </c>
      <c r="Y53" s="997">
        <f>W53*$C$53</f>
        <v>6719.5818967206096</v>
      </c>
      <c r="AA53" s="997">
        <f>Y53*$C$53</f>
        <v>6921.1693536222283</v>
      </c>
      <c r="AC53" s="997">
        <f>AA53*$C$53</f>
        <v>7128.8044342308949</v>
      </c>
      <c r="AE53" s="997">
        <f>AC53*$C$53</f>
        <v>7342.6685672578224</v>
      </c>
      <c r="AG53" s="997">
        <f>AE53*$C$53</f>
        <v>7562.9486242755574</v>
      </c>
    </row>
    <row r="54" spans="1:35" s="3" customFormat="1">
      <c r="A54" s="3" t="s">
        <v>884</v>
      </c>
      <c r="C54" s="995"/>
      <c r="E54" s="1002">
        <v>5000</v>
      </c>
      <c r="F54" s="997"/>
      <c r="G54" s="997">
        <f t="shared" ref="G54:AG57" si="1">E54*$C$53</f>
        <v>5150</v>
      </c>
      <c r="H54" s="997"/>
      <c r="I54" s="997">
        <f t="shared" si="1"/>
        <v>5304.5</v>
      </c>
      <c r="J54" s="997"/>
      <c r="K54" s="997">
        <f t="shared" si="1"/>
        <v>5463.6350000000002</v>
      </c>
      <c r="L54" s="997"/>
      <c r="M54" s="997">
        <f t="shared" si="1"/>
        <v>5627.5440500000004</v>
      </c>
      <c r="N54" s="997"/>
      <c r="O54" s="997">
        <f t="shared" si="1"/>
        <v>5796.3703715000001</v>
      </c>
      <c r="P54" s="997"/>
      <c r="Q54" s="997">
        <f t="shared" si="1"/>
        <v>5970.2614826449999</v>
      </c>
      <c r="R54" s="997"/>
      <c r="S54" s="997">
        <f t="shared" si="1"/>
        <v>6149.3693271243501</v>
      </c>
      <c r="T54" s="997"/>
      <c r="U54" s="997">
        <f t="shared" si="1"/>
        <v>6333.8504069380806</v>
      </c>
      <c r="V54" s="997"/>
      <c r="W54" s="997">
        <f t="shared" si="1"/>
        <v>6523.865919146223</v>
      </c>
      <c r="X54" s="997"/>
      <c r="Y54" s="997">
        <f t="shared" si="1"/>
        <v>6719.5818967206096</v>
      </c>
      <c r="Z54" s="997"/>
      <c r="AA54" s="997">
        <f t="shared" si="1"/>
        <v>6921.1693536222283</v>
      </c>
      <c r="AB54" s="997"/>
      <c r="AC54" s="997">
        <f t="shared" si="1"/>
        <v>7128.8044342308949</v>
      </c>
      <c r="AD54" s="997"/>
      <c r="AE54" s="997">
        <f t="shared" si="1"/>
        <v>7342.6685672578224</v>
      </c>
      <c r="AF54" s="997"/>
      <c r="AG54" s="997">
        <f t="shared" si="1"/>
        <v>7562.9486242755574</v>
      </c>
      <c r="AH54" s="997"/>
      <c r="AI54" s="997"/>
    </row>
    <row r="55" spans="1:35" s="3" customFormat="1">
      <c r="A55" s="3" t="s">
        <v>2740</v>
      </c>
      <c r="C55" s="995"/>
      <c r="E55" s="1002">
        <v>5000</v>
      </c>
      <c r="F55" s="997"/>
      <c r="G55" s="997">
        <f t="shared" si="1"/>
        <v>5150</v>
      </c>
      <c r="H55" s="997"/>
      <c r="I55" s="997">
        <f t="shared" si="1"/>
        <v>5304.5</v>
      </c>
      <c r="J55" s="997"/>
      <c r="K55" s="997">
        <f t="shared" si="1"/>
        <v>5463.6350000000002</v>
      </c>
      <c r="L55" s="997"/>
      <c r="M55" s="997">
        <f t="shared" si="1"/>
        <v>5627.5440500000004</v>
      </c>
      <c r="N55" s="997"/>
      <c r="O55" s="997">
        <f t="shared" si="1"/>
        <v>5796.3703715000001</v>
      </c>
      <c r="P55" s="997"/>
      <c r="Q55" s="997">
        <f t="shared" si="1"/>
        <v>5970.2614826449999</v>
      </c>
      <c r="R55" s="997"/>
      <c r="S55" s="997">
        <f t="shared" si="1"/>
        <v>6149.3693271243501</v>
      </c>
      <c r="T55" s="997"/>
      <c r="U55" s="997">
        <f t="shared" si="1"/>
        <v>6333.8504069380806</v>
      </c>
      <c r="V55" s="997"/>
      <c r="W55" s="997">
        <f t="shared" si="1"/>
        <v>6523.865919146223</v>
      </c>
      <c r="X55" s="997"/>
      <c r="Y55" s="997">
        <f t="shared" si="1"/>
        <v>6719.5818967206096</v>
      </c>
      <c r="Z55" s="997"/>
      <c r="AA55" s="997">
        <f t="shared" si="1"/>
        <v>6921.1693536222283</v>
      </c>
      <c r="AB55" s="997"/>
      <c r="AC55" s="997">
        <f t="shared" si="1"/>
        <v>7128.8044342308949</v>
      </c>
      <c r="AD55" s="997"/>
      <c r="AE55" s="997">
        <f t="shared" si="1"/>
        <v>7342.6685672578224</v>
      </c>
      <c r="AF55" s="997"/>
      <c r="AG55" s="997">
        <f t="shared" si="1"/>
        <v>7562.9486242755574</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15000</v>
      </c>
      <c r="F58" s="997"/>
      <c r="G58" s="997">
        <f>SUM(G53:G57)</f>
        <v>15450</v>
      </c>
      <c r="H58" s="997"/>
      <c r="I58" s="997">
        <f>SUM(I53:I57)</f>
        <v>15913.5</v>
      </c>
      <c r="J58" s="997"/>
      <c r="K58" s="997">
        <f>SUM(K53:K57)</f>
        <v>16390.904999999999</v>
      </c>
      <c r="L58" s="997"/>
      <c r="M58" s="997">
        <f>SUM(M53:M57)</f>
        <v>16882.632150000001</v>
      </c>
      <c r="N58" s="997"/>
      <c r="O58" s="997">
        <f>SUM(O53:O57)</f>
        <v>17389.1111145</v>
      </c>
      <c r="P58" s="997"/>
      <c r="Q58" s="997">
        <f>SUM(Q53:Q57)</f>
        <v>17910.784447934999</v>
      </c>
      <c r="R58" s="997"/>
      <c r="S58" s="997">
        <f>SUM(S53:S57)</f>
        <v>18448.10798137305</v>
      </c>
      <c r="T58" s="997"/>
      <c r="U58" s="997">
        <f>SUM(U53:U57)</f>
        <v>19001.551220814243</v>
      </c>
      <c r="V58" s="997"/>
      <c r="W58" s="997">
        <f>SUM(W53:W57)</f>
        <v>19571.597757438671</v>
      </c>
      <c r="X58" s="997"/>
      <c r="Y58" s="997">
        <f>SUM(Y53:Y57)</f>
        <v>20158.745690161828</v>
      </c>
      <c r="Z58" s="997"/>
      <c r="AA58" s="997">
        <f>SUM(AA53:AA57)</f>
        <v>20763.508060866683</v>
      </c>
      <c r="AB58" s="997"/>
      <c r="AC58" s="997">
        <f>SUM(AC53:AC57)</f>
        <v>21386.413302692687</v>
      </c>
      <c r="AD58" s="997"/>
      <c r="AE58" s="997">
        <f>SUM(AE53:AE57)</f>
        <v>22028.005701773465</v>
      </c>
      <c r="AF58" s="997"/>
      <c r="AG58" s="997">
        <f>SUM(AG53:AG57)</f>
        <v>22688.845872826671</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393877.79999999981</v>
      </c>
      <c r="G60" s="999">
        <f>G45-G58</f>
        <v>461698.06999999937</v>
      </c>
      <c r="I60" s="999">
        <f>I45-I58</f>
        <v>530795.5237499997</v>
      </c>
      <c r="K60" s="999">
        <f>K45-K58</f>
        <v>601187.46078874893</v>
      </c>
      <c r="M60" s="999">
        <f>M45-M58</f>
        <v>672891.10142904241</v>
      </c>
      <c r="O60" s="999">
        <f>O45-O58</f>
        <v>745923.56687718921</v>
      </c>
      <c r="Q60" s="999">
        <f>Q45-Q58</f>
        <v>678464.85822927719</v>
      </c>
      <c r="S60" s="999">
        <f>S45-S58</f>
        <v>754205.8342942507</v>
      </c>
      <c r="U60" s="999">
        <f>U45-U58</f>
        <v>831326.18819178315</v>
      </c>
      <c r="W60" s="999">
        <f>W45-W58</f>
        <v>909842.42267085938</v>
      </c>
      <c r="Y60" s="999">
        <f>Y45-Y58</f>
        <v>989770.82409279281</v>
      </c>
      <c r="AA60" s="999">
        <f>AA45-AA58</f>
        <v>1071127.4350201508</v>
      </c>
      <c r="AC60" s="999">
        <f>AC45-AC58</f>
        <v>1153928.0253507108</v>
      </c>
      <c r="AE60" s="999">
        <f>AE45-AE58</f>
        <v>1238188.0619331629</v>
      </c>
      <c r="AG60" s="999">
        <f>AG45-AG58</f>
        <v>1323922.6765987121</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1</v>
      </c>
      <c r="E62" s="1001">
        <v>393878</v>
      </c>
      <c r="G62" s="999">
        <f>G60*$C$62</f>
        <v>461698.06999999937</v>
      </c>
      <c r="I62" s="999">
        <f>I60*$C$62</f>
        <v>530795.5237499997</v>
      </c>
      <c r="K62" s="999">
        <f>K60*$C$62</f>
        <v>601187.46078874893</v>
      </c>
      <c r="M62" s="999">
        <f>M60*$C$62</f>
        <v>672891.10142904241</v>
      </c>
      <c r="O62" s="999">
        <f>O60*$C$62</f>
        <v>745923.56687718921</v>
      </c>
      <c r="Q62" s="999">
        <f>Q60*$C$62</f>
        <v>678464.85822927719</v>
      </c>
      <c r="S62" s="999">
        <f>S60*$C$62</f>
        <v>754205.8342942507</v>
      </c>
      <c r="U62" s="999">
        <f>U60*$C$62</f>
        <v>831326.18819178315</v>
      </c>
      <c r="W62" s="999">
        <f>W60*$C$62</f>
        <v>909842.42267085938</v>
      </c>
      <c r="Y62" s="999">
        <f>Y60*$C$62</f>
        <v>989770.82409279281</v>
      </c>
      <c r="AA62" s="999">
        <v>942120</v>
      </c>
      <c r="AC62" s="999">
        <v>0</v>
      </c>
      <c r="AE62" s="999">
        <v>0</v>
      </c>
      <c r="AG62" s="999">
        <v>0</v>
      </c>
    </row>
    <row r="63" spans="1:35" s="999" customFormat="1">
      <c r="A63" s="2534" t="s">
        <v>1326</v>
      </c>
      <c r="B63" s="2534"/>
      <c r="C63" s="2534"/>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0</v>
      </c>
      <c r="G66" s="997">
        <f>G60*$C$65</f>
        <v>0</v>
      </c>
      <c r="I66" s="997">
        <f>I60*$C$65</f>
        <v>0</v>
      </c>
      <c r="K66" s="997">
        <f>K60*$C$65</f>
        <v>0</v>
      </c>
      <c r="M66" s="997">
        <f>M60*$C$65</f>
        <v>0</v>
      </c>
      <c r="O66" s="997">
        <f>O60*$C$65</f>
        <v>0</v>
      </c>
      <c r="Q66" s="997">
        <f>Q60*$C$65</f>
        <v>0</v>
      </c>
      <c r="S66" s="997">
        <f>S60*$C$65</f>
        <v>0</v>
      </c>
      <c r="U66" s="997">
        <f>U60*$C$65</f>
        <v>0</v>
      </c>
      <c r="W66" s="997">
        <f>W60*$C$65</f>
        <v>0</v>
      </c>
      <c r="Y66" s="997">
        <f>Y60*$C$65</f>
        <v>0</v>
      </c>
      <c r="AA66" s="997">
        <f>AA60*$C$65</f>
        <v>0</v>
      </c>
      <c r="AC66" s="997">
        <f>AC60*$C$65</f>
        <v>0</v>
      </c>
      <c r="AE66" s="997">
        <f>AE60*$C$65</f>
        <v>0</v>
      </c>
      <c r="AG66" s="997">
        <f>AG60*$C$65</f>
        <v>0</v>
      </c>
    </row>
    <row r="67" spans="1:35" s="997" customFormat="1">
      <c r="A67" s="1002"/>
      <c r="B67" s="1002"/>
      <c r="C67" s="1007"/>
      <c r="E67" s="1001">
        <f>$E60*$C$65</f>
        <v>0</v>
      </c>
      <c r="G67" s="997">
        <f>G60*$C$65</f>
        <v>0</v>
      </c>
      <c r="I67" s="997">
        <f>I60*$C$65</f>
        <v>0</v>
      </c>
      <c r="K67" s="997">
        <f>K60*$C$65</f>
        <v>0</v>
      </c>
      <c r="M67" s="997">
        <f>M60*$C$65</f>
        <v>0</v>
      </c>
      <c r="O67" s="997">
        <f>O60*$C$65</f>
        <v>0</v>
      </c>
      <c r="Q67" s="997">
        <f>Q60*$C$65</f>
        <v>0</v>
      </c>
      <c r="S67" s="997">
        <f>S60*$C$65</f>
        <v>0</v>
      </c>
      <c r="U67" s="997">
        <f>U60*$C$65</f>
        <v>0</v>
      </c>
      <c r="W67" s="997">
        <f>W60*$C$65</f>
        <v>0</v>
      </c>
      <c r="Y67" s="997">
        <f>Y60*$C$65</f>
        <v>0</v>
      </c>
      <c r="AA67" s="997">
        <f>AA60*$C$65</f>
        <v>0</v>
      </c>
      <c r="AC67" s="997">
        <f>AC60*$C$65</f>
        <v>0</v>
      </c>
      <c r="AE67" s="997">
        <f>AE60*$C$65</f>
        <v>0</v>
      </c>
      <c r="AG67" s="997">
        <f>AG60*$C$65</f>
        <v>0</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0</v>
      </c>
    </row>
    <row r="71" spans="1:35" s="997" customFormat="1">
      <c r="A71" s="999"/>
      <c r="C71" s="1007"/>
    </row>
    <row r="72" spans="1:35" s="997" customFormat="1">
      <c r="A72" s="999" t="s">
        <v>1982</v>
      </c>
      <c r="C72" s="1007"/>
      <c r="E72" s="999">
        <f>E60-E62-E70</f>
        <v>-0.20000000018626451</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129007.43502015085</v>
      </c>
      <c r="AC72" s="999">
        <f>AC60-AC62-AC70</f>
        <v>1153928.0253507108</v>
      </c>
      <c r="AE72" s="999">
        <f>AE60-AE62-AE70</f>
        <v>1238188.0619331629</v>
      </c>
      <c r="AG72" s="999">
        <f>AG60-AG62-AG70</f>
        <v>1323922.6765987121</v>
      </c>
    </row>
    <row r="73" spans="1:35" s="997" customFormat="1">
      <c r="A73" s="564"/>
      <c r="C73" s="1007"/>
    </row>
    <row r="74" spans="1:35" s="233" customFormat="1">
      <c r="A74" s="564"/>
      <c r="C74" s="192"/>
    </row>
    <row r="75" spans="1:35" s="233" customFormat="1">
      <c r="A75" s="997" t="s">
        <v>1981</v>
      </c>
      <c r="C75" s="192"/>
    </row>
    <row r="76" spans="1:35" s="233" customFormat="1">
      <c r="C76" s="192"/>
    </row>
    <row r="77" spans="1:35" s="250" customFormat="1" ht="30" customHeight="1">
      <c r="A77" s="2532" t="s">
        <v>1980</v>
      </c>
      <c r="B77" s="2533"/>
      <c r="C77" s="2533"/>
      <c r="D77" s="2533"/>
      <c r="E77" s="2533"/>
      <c r="F77" s="2533"/>
      <c r="G77" s="2533"/>
      <c r="H77" s="2533"/>
      <c r="I77" s="2533"/>
      <c r="J77" s="2533"/>
      <c r="K77" s="2533"/>
      <c r="L77" s="2533"/>
      <c r="M77" s="2533"/>
      <c r="N77" s="2533"/>
      <c r="O77" s="2533"/>
      <c r="P77" s="2533"/>
      <c r="Q77" s="2533"/>
      <c r="R77" s="2533"/>
      <c r="S77" s="2533"/>
      <c r="T77" s="2533"/>
      <c r="U77" s="2533"/>
      <c r="V77" s="2533"/>
      <c r="W77" s="2533"/>
      <c r="X77" s="2533"/>
      <c r="Y77" s="2533"/>
      <c r="Z77" s="2533"/>
      <c r="AA77" s="2533"/>
      <c r="AB77" s="2533"/>
      <c r="AC77" s="2533"/>
      <c r="AD77" s="2533"/>
      <c r="AE77" s="2533"/>
      <c r="AF77" s="2533"/>
      <c r="AG77" s="2533"/>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3.2" zeroHeight="1"/>
  <cols>
    <col min="1" max="1" width="161.6640625" customWidth="1"/>
    <col min="2" max="16384" width="8.88671875" hidden="1"/>
  </cols>
  <sheetData>
    <row r="1" spans="1:1" ht="46.8">
      <c r="A1" s="337" t="s">
        <v>1010</v>
      </c>
    </row>
    <row r="2" spans="1:1" ht="15.6">
      <c r="A2" s="338"/>
    </row>
    <row r="3" spans="1:1" ht="15.6">
      <c r="A3" s="339" t="s">
        <v>1005</v>
      </c>
    </row>
    <row r="4" spans="1:1" ht="15.6">
      <c r="A4" s="339" t="s">
        <v>1006</v>
      </c>
    </row>
    <row r="5" spans="1:1" ht="15.6">
      <c r="A5" s="339" t="s">
        <v>1007</v>
      </c>
    </row>
    <row r="6" spans="1:1" ht="15.6">
      <c r="A6" s="339" t="s">
        <v>1009</v>
      </c>
    </row>
    <row r="7" spans="1:1" ht="15.6">
      <c r="A7" s="339" t="s">
        <v>1008</v>
      </c>
    </row>
    <row r="8" spans="1:1" ht="15.6">
      <c r="A8" s="375" t="s">
        <v>1084</v>
      </c>
    </row>
    <row r="9" spans="1:1" ht="15.6">
      <c r="A9" s="339" t="s">
        <v>1085</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3.2" zeroHeight="1"/>
  <cols>
    <col min="1" max="1" width="35.6640625" style="218" customWidth="1"/>
    <col min="2" max="4" width="14.6640625" style="218" customWidth="1"/>
    <col min="5" max="5" width="50.6640625" style="218" customWidth="1"/>
    <col min="6" max="6" width="9.109375" style="218" customWidth="1"/>
    <col min="7" max="253" width="0" style="218" hidden="1" customWidth="1"/>
    <col min="254" max="16384" width="9.109375" style="218" hidden="1"/>
  </cols>
  <sheetData>
    <row r="1" spans="1:7" s="296" customFormat="1" ht="18" customHeight="1">
      <c r="A1" s="548" t="s">
        <v>1360</v>
      </c>
      <c r="D1" s="301"/>
    </row>
    <row r="2" spans="1:7" s="296" customFormat="1">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c r="A4" s="284" t="s">
        <v>26</v>
      </c>
      <c r="B4" s="284"/>
      <c r="C4" s="284"/>
      <c r="D4" s="284"/>
      <c r="E4" s="303"/>
      <c r="F4" s="284"/>
      <c r="G4" s="384"/>
    </row>
    <row r="5" spans="1:7" s="381" customFormat="1">
      <c r="A5" s="396" t="s">
        <v>27</v>
      </c>
      <c r="B5" s="286">
        <f>'Sources and Uses Budget'!$C4</f>
        <v>1000000</v>
      </c>
      <c r="C5" s="286">
        <f>'Sources and Uses Budget'!$C4</f>
        <v>1000000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1000000</v>
      </c>
      <c r="C9" s="290">
        <f>SUM(C5:C8)</f>
        <v>1000000</v>
      </c>
      <c r="D9" s="290">
        <f t="shared" si="0"/>
        <v>0</v>
      </c>
      <c r="E9" s="288"/>
      <c r="F9" s="287"/>
      <c r="G9" s="384"/>
    </row>
    <row r="10" spans="1:7" s="381" customFormat="1">
      <c r="A10" s="396" t="s">
        <v>604</v>
      </c>
      <c r="B10" s="286">
        <f>'Sources and Uses Budget'!$C9</f>
        <v>0</v>
      </c>
      <c r="C10" s="286">
        <f>'Sources and Uses Budget'!$C9</f>
        <v>0</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0</v>
      </c>
      <c r="C12" s="290">
        <f>SUM(C10:C11)</f>
        <v>0</v>
      </c>
      <c r="D12" s="290">
        <f t="shared" si="0"/>
        <v>0</v>
      </c>
      <c r="E12" s="288"/>
      <c r="F12" s="287"/>
      <c r="G12" s="384"/>
    </row>
    <row r="13" spans="1:7" s="381" customFormat="1">
      <c r="A13" s="397" t="s">
        <v>85</v>
      </c>
      <c r="B13" s="290">
        <f>SUM(B9+B12)</f>
        <v>1000000</v>
      </c>
      <c r="C13" s="290">
        <f>SUM(C9+C12)</f>
        <v>1000000</v>
      </c>
      <c r="D13" s="290">
        <f t="shared" si="0"/>
        <v>0</v>
      </c>
      <c r="E13" s="288"/>
      <c r="F13" s="287"/>
      <c r="G13" s="384"/>
    </row>
    <row r="14" spans="1:7" s="381" customFormat="1">
      <c r="A14" s="398" t="s">
        <v>935</v>
      </c>
      <c r="B14" s="286">
        <f>'Sources and Uses Budget'!$C13</f>
        <v>0</v>
      </c>
      <c r="C14" s="286">
        <f>'Sources and Uses Budget'!$C13</f>
        <v>0</v>
      </c>
      <c r="D14" s="290">
        <f t="shared" si="0"/>
        <v>0</v>
      </c>
      <c r="E14" s="288"/>
      <c r="F14" s="287"/>
      <c r="G14" s="384"/>
    </row>
    <row r="15" spans="1:7" s="381" customFormat="1" ht="22.8">
      <c r="A15" s="396" t="s">
        <v>936</v>
      </c>
      <c r="B15" s="286">
        <f>'Sources and Uses Budget'!$C14</f>
        <v>0</v>
      </c>
      <c r="C15" s="286">
        <f>'Sources and Uses Budget'!$C14</f>
        <v>0</v>
      </c>
      <c r="D15" s="290">
        <f t="shared" si="0"/>
        <v>0</v>
      </c>
      <c r="E15" s="288"/>
      <c r="F15" s="287"/>
      <c r="G15" s="384"/>
    </row>
    <row r="16" spans="1:7" s="381" customFormat="1">
      <c r="A16" s="396" t="s">
        <v>1302</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0</v>
      </c>
      <c r="C19" s="286">
        <f>'Sources and Uses Budget'!$C18</f>
        <v>0</v>
      </c>
      <c r="D19" s="290">
        <f t="shared" si="0"/>
        <v>0</v>
      </c>
      <c r="E19" s="288"/>
      <c r="F19" s="287"/>
      <c r="G19" s="384"/>
    </row>
    <row r="20" spans="1:7" s="381" customFormat="1">
      <c r="A20" s="145" t="s">
        <v>610</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1819</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2000000</v>
      </c>
      <c r="C30" s="286">
        <f>'Sources and Uses Budget'!$C29</f>
        <v>2000000</v>
      </c>
      <c r="D30" s="290">
        <f t="shared" si="0"/>
        <v>0</v>
      </c>
      <c r="E30" s="288"/>
      <c r="F30" s="287"/>
      <c r="G30" s="384"/>
    </row>
    <row r="31" spans="1:7" s="381" customFormat="1">
      <c r="A31" s="145" t="s">
        <v>609</v>
      </c>
      <c r="B31" s="286">
        <f>'Sources and Uses Budget'!$C30</f>
        <v>40865269</v>
      </c>
      <c r="C31" s="286">
        <f>'Sources and Uses Budget'!$C30</f>
        <v>40865269</v>
      </c>
      <c r="D31" s="290">
        <f t="shared" si="0"/>
        <v>0</v>
      </c>
      <c r="E31" s="288"/>
      <c r="F31" s="287"/>
      <c r="G31" s="384"/>
    </row>
    <row r="32" spans="1:7" s="381" customFormat="1">
      <c r="A32" s="145" t="s">
        <v>610</v>
      </c>
      <c r="B32" s="286">
        <f>'Sources and Uses Budget'!$C31</f>
        <v>2571916</v>
      </c>
      <c r="C32" s="286">
        <f>'Sources and Uses Budget'!$C31</f>
        <v>2571916</v>
      </c>
      <c r="D32" s="290">
        <f t="shared" si="0"/>
        <v>0</v>
      </c>
      <c r="E32" s="288"/>
      <c r="F32" s="287"/>
      <c r="G32" s="384"/>
    </row>
    <row r="33" spans="1:7" s="381" customFormat="1">
      <c r="A33" s="145" t="s">
        <v>138</v>
      </c>
      <c r="B33" s="286">
        <f>'Sources and Uses Budget'!$C32</f>
        <v>857305</v>
      </c>
      <c r="C33" s="286">
        <f>'Sources and Uses Budget'!$C32</f>
        <v>857305</v>
      </c>
      <c r="D33" s="290">
        <f t="shared" si="0"/>
        <v>0</v>
      </c>
      <c r="E33" s="288"/>
      <c r="F33" s="287"/>
      <c r="G33" s="384"/>
    </row>
    <row r="34" spans="1:7" s="381" customFormat="1">
      <c r="A34" s="145" t="s">
        <v>139</v>
      </c>
      <c r="B34" s="286">
        <f>'Sources and Uses Budget'!$C33</f>
        <v>2571916</v>
      </c>
      <c r="C34" s="286">
        <f>'Sources and Uses Budget'!$C33</f>
        <v>2571916</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2000000</v>
      </c>
      <c r="C36" s="286">
        <f>'Sources and Uses Budget'!$C35</f>
        <v>2000000</v>
      </c>
      <c r="D36" s="290">
        <f t="shared" si="0"/>
        <v>0</v>
      </c>
      <c r="E36" s="288"/>
      <c r="F36" s="287"/>
      <c r="G36" s="384"/>
    </row>
    <row r="37" spans="1:7" s="381" customFormat="1">
      <c r="A37" s="304" t="s">
        <v>1819</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50866406</v>
      </c>
      <c r="C39" s="290">
        <f>SUM(C30:C38)</f>
        <v>50866406</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1000000</v>
      </c>
      <c r="C41" s="286">
        <f>'Sources and Uses Budget'!$C40</f>
        <v>1000000</v>
      </c>
      <c r="D41" s="290">
        <f t="shared" si="0"/>
        <v>0</v>
      </c>
      <c r="E41" s="288"/>
      <c r="F41" s="287"/>
      <c r="G41" s="384"/>
    </row>
    <row r="42" spans="1:7" s="381" customFormat="1">
      <c r="A42" s="289" t="s">
        <v>147</v>
      </c>
      <c r="B42" s="286">
        <f>'Sources and Uses Budget'!$C41</f>
        <v>0</v>
      </c>
      <c r="C42" s="286">
        <f>'Sources and Uses Budget'!$C41</f>
        <v>0</v>
      </c>
      <c r="D42" s="290">
        <f t="shared" si="0"/>
        <v>0</v>
      </c>
      <c r="E42" s="288"/>
      <c r="F42" s="287"/>
      <c r="G42" s="384"/>
    </row>
    <row r="43" spans="1:7" s="381" customFormat="1">
      <c r="A43" s="291" t="s">
        <v>148</v>
      </c>
      <c r="B43" s="290">
        <f>SUM(B41:B42)</f>
        <v>1000000</v>
      </c>
      <c r="C43" s="290">
        <f>SUM(C41:C42)</f>
        <v>1000000</v>
      </c>
      <c r="D43" s="290">
        <f t="shared" si="0"/>
        <v>0</v>
      </c>
      <c r="E43" s="288"/>
      <c r="F43" s="287"/>
      <c r="G43" s="384"/>
    </row>
    <row r="44" spans="1:7" s="381" customFormat="1">
      <c r="A44" s="291" t="s">
        <v>149</v>
      </c>
      <c r="B44" s="286">
        <f>'Sources and Uses Budget'!$C43</f>
        <v>700000</v>
      </c>
      <c r="C44" s="286">
        <f>'Sources and Uses Budget'!$C43</f>
        <v>700000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8084500</v>
      </c>
      <c r="C46" s="286">
        <f>'Sources and Uses Budget'!$C45</f>
        <v>8084500</v>
      </c>
      <c r="D46" s="290">
        <f t="shared" si="0"/>
        <v>0</v>
      </c>
      <c r="E46" s="288"/>
      <c r="F46" s="287"/>
      <c r="G46" s="384"/>
    </row>
    <row r="47" spans="1:7" s="381" customFormat="1">
      <c r="A47" s="145" t="s">
        <v>152</v>
      </c>
      <c r="B47" s="286">
        <f>'Sources and Uses Budget'!$C46</f>
        <v>512000</v>
      </c>
      <c r="C47" s="286">
        <f>'Sources and Uses Budget'!$C46</f>
        <v>512000</v>
      </c>
      <c r="D47" s="290">
        <f t="shared" si="0"/>
        <v>0</v>
      </c>
      <c r="E47" s="288"/>
      <c r="F47" s="287"/>
      <c r="G47" s="384"/>
    </row>
    <row r="48" spans="1:7" s="381" customFormat="1" ht="12" customHeight="1">
      <c r="A48" s="198" t="s">
        <v>153</v>
      </c>
      <c r="B48" s="286">
        <f>'Sources and Uses Budget'!$C47</f>
        <v>88600</v>
      </c>
      <c r="C48" s="286">
        <f>'Sources and Uses Budget'!$C47</f>
        <v>88600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24000</v>
      </c>
      <c r="C50" s="286">
        <f>'Sources and Uses Budget'!$C49</f>
        <v>24000</v>
      </c>
      <c r="D50" s="290">
        <f t="shared" si="0"/>
        <v>0</v>
      </c>
      <c r="E50" s="288"/>
      <c r="F50" s="287"/>
      <c r="G50" s="384"/>
    </row>
    <row r="51" spans="1:7" s="381" customFormat="1">
      <c r="A51" s="145" t="s">
        <v>157</v>
      </c>
      <c r="B51" s="286">
        <f>'Sources and Uses Budget'!$C50</f>
        <v>100000</v>
      </c>
      <c r="C51" s="286">
        <f>'Sources and Uses Budget'!$C50</f>
        <v>100000</v>
      </c>
      <c r="D51" s="290">
        <f t="shared" si="0"/>
        <v>0</v>
      </c>
      <c r="E51" s="288"/>
      <c r="F51" s="287"/>
      <c r="G51" s="384"/>
    </row>
    <row r="52" spans="1:7" s="381" customFormat="1">
      <c r="A52" s="304" t="s">
        <v>155</v>
      </c>
      <c r="B52" s="286">
        <f>'Sources and Uses Budget'!$C51</f>
        <v>100000</v>
      </c>
      <c r="C52" s="286">
        <f>'Sources and Uses Budget'!$C51</f>
        <v>100000</v>
      </c>
      <c r="D52" s="290">
        <f t="shared" si="0"/>
        <v>0</v>
      </c>
      <c r="E52" s="288"/>
      <c r="F52" s="287"/>
      <c r="G52" s="384"/>
    </row>
    <row r="53" spans="1:7" s="381" customFormat="1">
      <c r="A53" s="145" t="s">
        <v>156</v>
      </c>
      <c r="B53" s="286">
        <f>'Sources and Uses Budget'!$C52</f>
        <v>0</v>
      </c>
      <c r="C53" s="286">
        <f>'Sources and Uses Budget'!$C52</f>
        <v>0</v>
      </c>
      <c r="D53" s="290">
        <f t="shared" si="0"/>
        <v>0</v>
      </c>
      <c r="E53" s="288"/>
      <c r="F53" s="287"/>
      <c r="G53" s="384"/>
    </row>
    <row r="54" spans="1:7" s="381" customFormat="1">
      <c r="A54" s="155" t="str">
        <f>'Sources and Uses Budget'!A53</f>
        <v>Other: (Specify)</v>
      </c>
      <c r="B54" s="286">
        <f>'Sources and Uses Budget'!$C53</f>
        <v>0</v>
      </c>
      <c r="C54" s="286">
        <f>'Sources and Uses Budget'!$C53</f>
        <v>0</v>
      </c>
      <c r="D54" s="290">
        <f t="shared" si="0"/>
        <v>0</v>
      </c>
      <c r="E54" s="288"/>
      <c r="F54" s="287"/>
      <c r="G54" s="384"/>
    </row>
    <row r="55" spans="1:7" s="382" customFormat="1">
      <c r="A55" s="291" t="s">
        <v>158</v>
      </c>
      <c r="B55" s="293">
        <f>SUM(B46:B54)</f>
        <v>8909100</v>
      </c>
      <c r="C55" s="293">
        <f>SUM(C46:C54)</f>
        <v>8909100</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43802</v>
      </c>
      <c r="C57" s="286">
        <f>'Sources and Uses Budget'!$C56</f>
        <v>43802</v>
      </c>
      <c r="D57" s="290">
        <f t="shared" si="0"/>
        <v>0</v>
      </c>
      <c r="E57" s="288"/>
      <c r="F57" s="287"/>
      <c r="G57" s="384"/>
    </row>
    <row r="58" spans="1:7" s="381" customFormat="1" ht="12" customHeight="1">
      <c r="A58" s="289" t="s">
        <v>153</v>
      </c>
      <c r="B58" s="286">
        <f>'Sources and Uses Budget'!$C57</f>
        <v>86024</v>
      </c>
      <c r="C58" s="286">
        <f>'Sources and Uses Budget'!$C57</f>
        <v>86024</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Bond Counsel</v>
      </c>
      <c r="B62" s="286">
        <f>'Sources and Uses Budget'!$C61</f>
        <v>50000</v>
      </c>
      <c r="C62" s="286">
        <f>'Sources and Uses Budget'!$C61</f>
        <v>50000</v>
      </c>
      <c r="D62" s="290">
        <f t="shared" si="0"/>
        <v>0</v>
      </c>
      <c r="E62" s="288"/>
      <c r="F62" s="287"/>
      <c r="G62" s="384"/>
    </row>
    <row r="63" spans="1:7" s="381" customFormat="1" ht="13.65" customHeight="1">
      <c r="A63" s="291" t="s">
        <v>303</v>
      </c>
      <c r="B63" s="290">
        <f>SUM(B57:B62)</f>
        <v>179826</v>
      </c>
      <c r="C63" s="290">
        <f>SUM(C57:C62)</f>
        <v>179826</v>
      </c>
      <c r="D63" s="290">
        <f t="shared" si="0"/>
        <v>0</v>
      </c>
      <c r="E63" s="288"/>
      <c r="F63" s="287"/>
      <c r="G63" s="384"/>
    </row>
    <row r="64" spans="1:7" s="381" customFormat="1">
      <c r="A64" s="294" t="s">
        <v>304</v>
      </c>
      <c r="B64" s="290">
        <f>SUM(B9+B12+B14+B15+B17+B26+B28+B39+B43+B44+B55+B63)</f>
        <v>62655332</v>
      </c>
      <c r="C64" s="290">
        <f>SUM(C9+C12+C14+C15+C17+C26+C28+C39+C43+C44+C55+C63)</f>
        <v>62655332</v>
      </c>
      <c r="D64" s="290">
        <f t="shared" si="0"/>
        <v>0</v>
      </c>
      <c r="E64" s="288"/>
      <c r="F64" s="287"/>
      <c r="G64" s="384"/>
    </row>
    <row r="65" spans="1:7" s="381" customFormat="1" ht="22.8">
      <c r="A65" s="141" t="s">
        <v>1823</v>
      </c>
      <c r="B65" s="284"/>
      <c r="C65" s="284"/>
      <c r="D65" s="284"/>
      <c r="E65" s="303"/>
      <c r="F65" s="284"/>
      <c r="G65" s="384"/>
    </row>
    <row r="66" spans="1:7" s="381" customFormat="1">
      <c r="A66" s="145" t="s">
        <v>172</v>
      </c>
      <c r="B66" s="286">
        <f>'Sources and Uses Budget'!$C65</f>
        <v>60000</v>
      </c>
      <c r="C66" s="286">
        <f>'Sources and Uses Budget'!$C65</f>
        <v>60000</v>
      </c>
      <c r="D66" s="290">
        <f t="shared" si="0"/>
        <v>0</v>
      </c>
      <c r="E66" s="288"/>
      <c r="F66" s="287"/>
      <c r="G66" s="384"/>
    </row>
    <row r="67" spans="1:7" s="381" customFormat="1" ht="22.8">
      <c r="A67" s="304" t="s">
        <v>1820</v>
      </c>
      <c r="B67" s="286">
        <f>'Sources and Uses Budget'!$C66</f>
        <v>129500</v>
      </c>
      <c r="C67" s="286">
        <f>'Sources and Uses Budget'!$C66</f>
        <v>129500</v>
      </c>
      <c r="D67" s="290"/>
      <c r="E67" s="288"/>
      <c r="F67" s="287"/>
      <c r="G67" s="384"/>
    </row>
    <row r="68" spans="1:7" s="381" customFormat="1" ht="22.8">
      <c r="A68" s="304" t="s">
        <v>1821</v>
      </c>
      <c r="B68" s="286">
        <f>'Sources and Uses Budget'!$C67</f>
        <v>0</v>
      </c>
      <c r="C68" s="286">
        <f>'Sources and Uses Budget'!$C67</f>
        <v>0</v>
      </c>
      <c r="D68" s="290"/>
      <c r="E68" s="288"/>
      <c r="F68" s="287"/>
      <c r="G68" s="384"/>
    </row>
    <row r="69" spans="1:7" s="381" customFormat="1">
      <c r="A69" s="304" t="s">
        <v>1827</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1824</v>
      </c>
      <c r="B71" s="290">
        <f>SUM(B66:B70)</f>
        <v>189500</v>
      </c>
      <c r="C71" s="290">
        <f>SUM(C66:C70)</f>
        <v>189500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1039</v>
      </c>
      <c r="B75" s="286">
        <f>'Sources and Uses Budget'!$C74</f>
        <v>0</v>
      </c>
      <c r="C75" s="286">
        <f>'Sources and Uses Budget'!$C74</f>
        <v>0</v>
      </c>
      <c r="D75" s="290">
        <f t="shared" si="0"/>
        <v>0</v>
      </c>
      <c r="E75" s="288"/>
      <c r="F75" s="287"/>
      <c r="G75" s="384"/>
    </row>
    <row r="76" spans="1:7" s="381" customFormat="1">
      <c r="A76" s="289" t="s">
        <v>615</v>
      </c>
      <c r="B76" s="286">
        <f>'Sources and Uses Budget'!$C75</f>
        <v>997590</v>
      </c>
      <c r="C76" s="286">
        <f>'Sources and Uses Budget'!$C75</f>
        <v>997590</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616</v>
      </c>
      <c r="B78" s="290">
        <f>SUM(B73:B77)</f>
        <v>997590</v>
      </c>
      <c r="C78" s="290">
        <f>SUM(C73:C77)</f>
        <v>997590</v>
      </c>
      <c r="D78" s="290">
        <f t="shared" ref="D78:D106" si="1">C78-B78</f>
        <v>0</v>
      </c>
      <c r="E78" s="288"/>
      <c r="F78" s="287"/>
      <c r="G78" s="384"/>
    </row>
    <row r="79" spans="1:7" s="381" customFormat="1">
      <c r="A79" s="284" t="s">
        <v>1352</v>
      </c>
      <c r="B79" s="284"/>
      <c r="C79" s="284"/>
      <c r="D79" s="284"/>
      <c r="E79" s="303"/>
      <c r="F79" s="284"/>
      <c r="G79" s="384"/>
    </row>
    <row r="80" spans="1:7" s="381" customFormat="1">
      <c r="A80" s="545" t="s">
        <v>1354</v>
      </c>
      <c r="B80" s="286">
        <f>'Sources and Uses Budget'!$C79</f>
        <v>2465251</v>
      </c>
      <c r="C80" s="286">
        <f>'Sources and Uses Budget'!$C79</f>
        <v>2465251</v>
      </c>
      <c r="D80" s="290">
        <f t="shared" si="1"/>
        <v>0</v>
      </c>
      <c r="E80" s="288"/>
      <c r="F80" s="287"/>
      <c r="G80" s="384"/>
    </row>
    <row r="81" spans="1:7" s="381" customFormat="1">
      <c r="A81" s="545" t="s">
        <v>58</v>
      </c>
      <c r="B81" s="286">
        <f>'Sources and Uses Budget'!$C80</f>
        <v>125000</v>
      </c>
      <c r="C81" s="286">
        <f>'Sources and Uses Budget'!$C80</f>
        <v>125000</v>
      </c>
      <c r="D81" s="290">
        <f>C81-B81</f>
        <v>0</v>
      </c>
      <c r="E81" s="288"/>
      <c r="F81" s="287"/>
      <c r="G81" s="384"/>
    </row>
    <row r="82" spans="1:7" s="381" customFormat="1">
      <c r="A82" s="291" t="s">
        <v>1351</v>
      </c>
      <c r="B82" s="290">
        <f>SUM(B80:B81)</f>
        <v>2590251</v>
      </c>
      <c r="C82" s="290">
        <f>SUM(C80:C81)</f>
        <v>2590251</v>
      </c>
      <c r="D82" s="290">
        <f t="shared" si="1"/>
        <v>0</v>
      </c>
      <c r="E82" s="288"/>
      <c r="F82" s="287"/>
      <c r="G82" s="384"/>
    </row>
    <row r="83" spans="1:7" s="381" customFormat="1">
      <c r="A83" s="284" t="s">
        <v>790</v>
      </c>
      <c r="B83" s="284"/>
      <c r="C83" s="284"/>
      <c r="D83" s="284"/>
      <c r="E83" s="303"/>
      <c r="F83" s="284"/>
      <c r="G83" s="384"/>
    </row>
    <row r="84" spans="1:7" s="381" customFormat="1" ht="13.65" customHeight="1">
      <c r="A84" s="289" t="s">
        <v>791</v>
      </c>
      <c r="B84" s="286">
        <f>'Sources and Uses Budget'!$C83</f>
        <v>138072</v>
      </c>
      <c r="C84" s="286">
        <f>'Sources and Uses Budget'!$C83</f>
        <v>138072</v>
      </c>
      <c r="D84" s="290">
        <f t="shared" si="1"/>
        <v>0</v>
      </c>
      <c r="E84" s="288"/>
      <c r="F84" s="287"/>
      <c r="G84" s="384"/>
    </row>
    <row r="85" spans="1:7" s="381" customFormat="1">
      <c r="A85" s="289" t="s">
        <v>792</v>
      </c>
      <c r="B85" s="286">
        <f>'Sources and Uses Budget'!$C84</f>
        <v>503500</v>
      </c>
      <c r="C85" s="286">
        <f>'Sources and Uses Budget'!$C84</f>
        <v>503500</v>
      </c>
      <c r="D85" s="290">
        <f t="shared" si="1"/>
        <v>0</v>
      </c>
      <c r="E85" s="288"/>
      <c r="F85" s="287"/>
      <c r="G85" s="384"/>
    </row>
    <row r="86" spans="1:7" s="381" customFormat="1">
      <c r="A86" s="289" t="s">
        <v>793</v>
      </c>
      <c r="B86" s="286">
        <f>'Sources and Uses Budget'!$C85</f>
        <v>8730343</v>
      </c>
      <c r="C86" s="286">
        <f>'Sources and Uses Budget'!$C85</f>
        <v>8730343</v>
      </c>
      <c r="D86" s="290">
        <f t="shared" si="1"/>
        <v>0</v>
      </c>
      <c r="E86" s="288"/>
      <c r="F86" s="287"/>
      <c r="G86" s="384"/>
    </row>
    <row r="87" spans="1:7" s="381" customFormat="1">
      <c r="A87" s="289" t="s">
        <v>794</v>
      </c>
      <c r="B87" s="286">
        <f>'Sources and Uses Budget'!$C86</f>
        <v>2000000</v>
      </c>
      <c r="C87" s="286">
        <f>'Sources and Uses Budget'!$C86</f>
        <v>2000000</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370979</v>
      </c>
      <c r="C89" s="286">
        <f>'Sources and Uses Budget'!$C88</f>
        <v>370979</v>
      </c>
      <c r="D89" s="290">
        <f t="shared" si="1"/>
        <v>0</v>
      </c>
      <c r="E89" s="288"/>
      <c r="F89" s="287"/>
      <c r="G89" s="384"/>
    </row>
    <row r="90" spans="1:7" s="381" customFormat="1">
      <c r="A90" s="289" t="s">
        <v>797</v>
      </c>
      <c r="B90" s="286">
        <f>'Sources and Uses Budget'!$C89</f>
        <v>400000</v>
      </c>
      <c r="C90" s="286">
        <f>'Sources and Uses Budget'!$C89</f>
        <v>400000</v>
      </c>
      <c r="D90" s="290">
        <f t="shared" si="1"/>
        <v>0</v>
      </c>
      <c r="E90" s="288"/>
      <c r="F90" s="287"/>
      <c r="G90" s="384"/>
    </row>
    <row r="91" spans="1:7" s="381" customFormat="1">
      <c r="A91" s="289" t="s">
        <v>798</v>
      </c>
      <c r="B91" s="286">
        <f>'Sources and Uses Budget'!$C90</f>
        <v>10000</v>
      </c>
      <c r="C91" s="286">
        <f>'Sources and Uses Budget'!$C90</f>
        <v>10000</v>
      </c>
      <c r="D91" s="290">
        <f t="shared" si="1"/>
        <v>0</v>
      </c>
      <c r="E91" s="288"/>
      <c r="F91" s="287"/>
      <c r="G91" s="384"/>
    </row>
    <row r="92" spans="1:7" s="381" customFormat="1">
      <c r="A92" s="289" t="s">
        <v>374</v>
      </c>
      <c r="B92" s="286">
        <f>'Sources and Uses Budget'!$C91</f>
        <v>110000</v>
      </c>
      <c r="C92" s="286">
        <f>'Sources and Uses Budget'!$C91</f>
        <v>110000</v>
      </c>
      <c r="D92" s="290">
        <f t="shared" si="1"/>
        <v>0</v>
      </c>
      <c r="E92" s="288"/>
      <c r="F92" s="287"/>
      <c r="G92" s="384"/>
    </row>
    <row r="93" spans="1:7" s="381" customFormat="1">
      <c r="A93" s="545" t="s">
        <v>1353</v>
      </c>
      <c r="B93" s="286">
        <f>'Sources and Uses Budget'!$C92</f>
        <v>10000</v>
      </c>
      <c r="C93" s="286">
        <f>'Sources and Uses Budget'!$C92</f>
        <v>10000</v>
      </c>
      <c r="D93" s="290">
        <f t="shared" si="1"/>
        <v>0</v>
      </c>
      <c r="E93" s="288"/>
      <c r="F93" s="287"/>
      <c r="G93" s="384"/>
    </row>
    <row r="94" spans="1:7" s="381" customFormat="1">
      <c r="A94" s="292" t="s">
        <v>34</v>
      </c>
      <c r="B94" s="286">
        <f>'Sources and Uses Budget'!$C93</f>
        <v>0</v>
      </c>
      <c r="C94" s="286">
        <f>'Sources and Uses Budget'!$C93</f>
        <v>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799</v>
      </c>
      <c r="B97" s="290">
        <f>SUM(B84:B96)</f>
        <v>12272894</v>
      </c>
      <c r="C97" s="290">
        <f>SUM(C84:C96)</f>
        <v>12272894</v>
      </c>
      <c r="D97" s="290">
        <f t="shared" si="1"/>
        <v>0</v>
      </c>
      <c r="E97" s="288"/>
      <c r="F97" s="287"/>
      <c r="G97" s="384"/>
    </row>
    <row r="98" spans="1:7" s="381" customFormat="1">
      <c r="A98" s="291" t="s">
        <v>800</v>
      </c>
      <c r="B98" s="290">
        <f>SUM(B64+B71+B78+B82+B97)</f>
        <v>78705567</v>
      </c>
      <c r="C98" s="290">
        <f>SUM(C64+C71+C78+C82+C97)</f>
        <v>78705567</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10683675</v>
      </c>
      <c r="C100" s="286">
        <f>'Sources and Uses Budget'!$C99</f>
        <v>10683675</v>
      </c>
      <c r="D100" s="290">
        <f t="shared" si="1"/>
        <v>0</v>
      </c>
      <c r="E100" s="288"/>
      <c r="F100" s="287"/>
      <c r="G100" s="384"/>
    </row>
    <row r="101" spans="1:7" s="381" customFormat="1">
      <c r="A101" s="304" t="s">
        <v>1825</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1826</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10683675</v>
      </c>
      <c r="C105" s="290">
        <f>SUM(C100:C104)</f>
        <v>10683675</v>
      </c>
      <c r="D105" s="290">
        <f t="shared" si="1"/>
        <v>0</v>
      </c>
      <c r="E105" s="288"/>
      <c r="F105" s="287"/>
      <c r="G105" s="384"/>
    </row>
    <row r="106" spans="1:7" s="381" customFormat="1">
      <c r="A106" s="291" t="s">
        <v>805</v>
      </c>
      <c r="B106" s="293">
        <f>SUM(B98+B105)</f>
        <v>89389242</v>
      </c>
      <c r="C106" s="293">
        <f>SUM(C98+C105)</f>
        <v>89389242</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8671875" hidden="1"/>
  </cols>
  <sheetData>
    <row r="1" spans="1:9"/>
    <row r="2" spans="1:9">
      <c r="A2" s="1299" t="s">
        <v>1104</v>
      </c>
      <c r="B2" s="1299"/>
      <c r="C2" s="1263"/>
      <c r="D2" s="1263"/>
      <c r="E2" s="1263"/>
      <c r="F2" s="1263"/>
      <c r="G2" s="1263"/>
    </row>
    <row r="3" spans="1:9" s="173" customFormat="1">
      <c r="A3" s="1299" t="s">
        <v>1041</v>
      </c>
      <c r="B3" s="1299"/>
      <c r="C3" s="1263"/>
      <c r="D3" s="1263"/>
      <c r="E3" s="1263"/>
      <c r="F3" s="1263"/>
      <c r="G3" s="1263"/>
      <c r="I3" t="s">
        <v>309</v>
      </c>
    </row>
    <row r="4" spans="1:9">
      <c r="I4" s="3" t="s">
        <v>1105</v>
      </c>
    </row>
    <row r="5" spans="1:9">
      <c r="A5" s="1301" t="s">
        <v>1042</v>
      </c>
      <c r="B5" s="1301"/>
      <c r="C5" s="1263"/>
      <c r="D5" s="1263"/>
      <c r="E5" s="1263"/>
      <c r="F5" s="1263"/>
      <c r="G5" s="1263"/>
      <c r="I5" s="3" t="s">
        <v>1106</v>
      </c>
    </row>
    <row r="6" spans="1:9">
      <c r="A6" s="1301" t="s">
        <v>846</v>
      </c>
      <c r="B6" s="1301"/>
      <c r="C6" s="1263"/>
      <c r="D6" s="1263"/>
      <c r="E6" s="1263"/>
      <c r="F6" s="1263"/>
      <c r="G6" s="1263"/>
      <c r="I6" t="s">
        <v>601</v>
      </c>
    </row>
    <row r="7" spans="1:9" ht="11.85" customHeight="1"/>
    <row r="8" spans="1:9">
      <c r="A8" s="1299" t="s">
        <v>1201</v>
      </c>
      <c r="B8" s="1299"/>
      <c r="C8" s="1300"/>
      <c r="D8" s="1300"/>
      <c r="E8" s="1300"/>
      <c r="F8" s="1300"/>
      <c r="G8" s="1300"/>
    </row>
    <row r="9" spans="1:9">
      <c r="A9" s="1299" t="s">
        <v>1202</v>
      </c>
      <c r="B9" s="1299"/>
      <c r="C9" s="1300"/>
      <c r="D9" s="1300"/>
      <c r="E9" s="1300"/>
      <c r="F9" s="1300"/>
      <c r="G9" s="1300"/>
    </row>
    <row r="10" spans="1:9">
      <c r="A10" s="174"/>
      <c r="B10" s="174"/>
      <c r="C10" s="172"/>
      <c r="D10" s="172"/>
      <c r="E10" s="172"/>
      <c r="F10" s="172"/>
    </row>
    <row r="11" spans="1:9">
      <c r="A11" s="1282" t="s">
        <v>1204</v>
      </c>
      <c r="B11" s="1282"/>
      <c r="C11" s="1282"/>
      <c r="D11" s="1282"/>
      <c r="E11" s="1282"/>
      <c r="F11" s="1282"/>
      <c r="G11" s="1282"/>
    </row>
    <row r="12" spans="1:9">
      <c r="A12" s="172"/>
      <c r="B12" s="172"/>
      <c r="E12" s="2"/>
    </row>
    <row r="13" spans="1:9" ht="13.2" customHeight="1">
      <c r="C13" s="172"/>
      <c r="D13" s="1284" t="s">
        <v>1203</v>
      </c>
      <c r="E13" s="1284"/>
      <c r="F13" s="1284"/>
    </row>
    <row r="14" spans="1:9">
      <c r="C14" s="172"/>
      <c r="D14" s="1284"/>
      <c r="E14" s="1284"/>
      <c r="F14" s="1284"/>
    </row>
    <row r="15" spans="1:9">
      <c r="A15" s="175"/>
      <c r="B15" s="175"/>
      <c r="C15" s="175"/>
      <c r="D15" s="1281" t="s">
        <v>1186</v>
      </c>
      <c r="E15" s="1281"/>
      <c r="F15" s="1281"/>
    </row>
    <row r="16" spans="1:9">
      <c r="A16" s="175"/>
      <c r="B16" s="175"/>
      <c r="C16" s="175"/>
      <c r="D16" s="218"/>
    </row>
    <row r="17" spans="1:6" ht="14.4">
      <c r="A17" s="176"/>
      <c r="B17" s="469" t="s">
        <v>309</v>
      </c>
      <c r="C17" s="175"/>
      <c r="D17" s="1261" t="s">
        <v>1187</v>
      </c>
      <c r="E17" s="1261"/>
      <c r="F17" s="1261"/>
    </row>
    <row r="18" spans="1:6">
      <c r="A18" s="175"/>
      <c r="B18" s="175"/>
      <c r="C18" s="175"/>
      <c r="D18" s="1261"/>
      <c r="E18" s="1261"/>
      <c r="F18" s="1261"/>
    </row>
    <row r="19" spans="1:6">
      <c r="A19" s="175"/>
      <c r="B19" s="175"/>
      <c r="C19" s="175"/>
      <c r="D19" s="1261"/>
      <c r="E19" s="1261"/>
      <c r="F19" s="1261"/>
    </row>
    <row r="20" spans="1:6">
      <c r="A20" s="175"/>
      <c r="B20" s="175"/>
      <c r="C20" s="175"/>
    </row>
    <row r="21" spans="1:6" ht="14.4">
      <c r="A21" s="176"/>
      <c r="B21" s="469" t="s">
        <v>309</v>
      </c>
      <c r="D21" s="1285" t="s">
        <v>1188</v>
      </c>
      <c r="E21" s="1285"/>
      <c r="F21" s="1285"/>
    </row>
    <row r="22" spans="1:6" ht="14.4">
      <c r="A22" s="176"/>
      <c r="B22" s="176"/>
      <c r="D22" s="35"/>
    </row>
    <row r="23" spans="1:6" ht="14.4">
      <c r="A23" s="176"/>
      <c r="B23" s="469" t="s">
        <v>309</v>
      </c>
      <c r="D23" s="1261" t="s">
        <v>1189</v>
      </c>
      <c r="E23" s="1261"/>
      <c r="F23" s="1261"/>
    </row>
    <row r="24" spans="1:6" ht="14.4">
      <c r="A24" s="176"/>
      <c r="B24" s="176"/>
      <c r="D24" s="1261"/>
      <c r="E24" s="1261"/>
      <c r="F24" s="1261"/>
    </row>
    <row r="25" spans="1:6"/>
    <row r="26" spans="1:6" ht="14.4">
      <c r="A26" s="176"/>
      <c r="B26" s="469" t="s">
        <v>309</v>
      </c>
      <c r="D26" s="1261" t="s">
        <v>1190</v>
      </c>
      <c r="E26" s="1261"/>
      <c r="F26" s="1261"/>
    </row>
    <row r="27" spans="1:6">
      <c r="D27" s="1261"/>
      <c r="E27" s="1261"/>
      <c r="F27" s="1261"/>
    </row>
    <row r="28" spans="1:6">
      <c r="D28" s="1261"/>
      <c r="E28" s="1261"/>
      <c r="F28" s="1261"/>
    </row>
    <row r="29" spans="1:6">
      <c r="D29" s="1261"/>
      <c r="E29" s="1261"/>
      <c r="F29" s="1261"/>
    </row>
    <row r="30" spans="1:6">
      <c r="D30" s="1261"/>
      <c r="E30" s="1261"/>
      <c r="F30" s="1261"/>
    </row>
    <row r="31" spans="1:6">
      <c r="D31" s="220"/>
    </row>
    <row r="32" spans="1:6">
      <c r="B32" s="469" t="s">
        <v>309</v>
      </c>
      <c r="D32" s="1261" t="s">
        <v>1191</v>
      </c>
      <c r="E32" s="1261"/>
      <c r="F32" s="1261"/>
    </row>
    <row r="33" spans="1:6">
      <c r="D33" s="1261"/>
      <c r="E33" s="1261"/>
      <c r="F33" s="1261"/>
    </row>
    <row r="34" spans="1:6" ht="14.4">
      <c r="A34" s="176"/>
      <c r="B34" s="176"/>
      <c r="D34" s="220"/>
    </row>
    <row r="35" spans="1:6" ht="14.4" customHeight="1">
      <c r="A35" s="176"/>
      <c r="B35" s="469" t="s">
        <v>309</v>
      </c>
      <c r="D35" s="1261" t="s">
        <v>1192</v>
      </c>
      <c r="E35" s="1261"/>
      <c r="F35" s="1261"/>
    </row>
    <row r="36" spans="1:6" ht="14.4">
      <c r="A36" s="176"/>
      <c r="B36" s="176"/>
      <c r="D36" s="1261"/>
      <c r="E36" s="1261"/>
      <c r="F36" s="1261"/>
    </row>
    <row r="37" spans="1:6" ht="14.4">
      <c r="A37" s="176"/>
      <c r="B37" s="176"/>
      <c r="D37" s="1261"/>
      <c r="E37" s="1261"/>
      <c r="F37" s="1261"/>
    </row>
    <row r="38" spans="1:6" ht="14.4">
      <c r="A38" s="176"/>
      <c r="B38" s="176"/>
      <c r="D38"/>
    </row>
    <row r="39" spans="1:6" ht="14.4">
      <c r="A39" s="176"/>
      <c r="B39" s="469" t="s">
        <v>309</v>
      </c>
      <c r="D39" s="1261" t="s">
        <v>1193</v>
      </c>
      <c r="E39" s="1261"/>
      <c r="F39" s="1261"/>
    </row>
    <row r="40" spans="1:6" ht="14.4">
      <c r="A40" s="176"/>
      <c r="B40" s="176"/>
      <c r="D40" s="1261"/>
      <c r="E40" s="1261"/>
      <c r="F40" s="1261"/>
    </row>
    <row r="41" spans="1:6" ht="14.4">
      <c r="A41" s="176"/>
      <c r="B41" s="176"/>
      <c r="D41" s="1261"/>
      <c r="E41" s="1261"/>
      <c r="F41" s="1261"/>
    </row>
    <row r="42" spans="1:6" ht="14.4">
      <c r="A42" s="176"/>
      <c r="B42" s="176"/>
      <c r="D42" s="1261"/>
      <c r="E42" s="1261"/>
      <c r="F42" s="1261"/>
    </row>
    <row r="43" spans="1:6" ht="14.4">
      <c r="A43" s="176"/>
      <c r="B43" s="176"/>
      <c r="D43" s="1261"/>
      <c r="E43" s="1261"/>
      <c r="F43" s="1261"/>
    </row>
    <row r="44" spans="1:6" ht="14.4">
      <c r="A44" s="176"/>
      <c r="B44" s="176"/>
      <c r="D44" s="475"/>
      <c r="E44" s="475"/>
      <c r="F44" s="475"/>
    </row>
    <row r="45" spans="1:6" ht="14.4">
      <c r="A45" s="176"/>
      <c r="B45" s="469" t="s">
        <v>309</v>
      </c>
      <c r="D45" s="1261" t="s">
        <v>1194</v>
      </c>
      <c r="E45" s="1261"/>
      <c r="F45" s="1261"/>
    </row>
    <row r="46" spans="1:6" ht="14.4">
      <c r="A46" s="176"/>
      <c r="B46" s="176"/>
      <c r="D46" s="1261"/>
      <c r="E46" s="1261"/>
      <c r="F46" s="1261"/>
    </row>
    <row r="47" spans="1:6" ht="14.4">
      <c r="A47" s="176"/>
      <c r="B47" s="176"/>
      <c r="D47" s="1261"/>
      <c r="E47" s="1261"/>
      <c r="F47" s="1261"/>
    </row>
    <row r="48" spans="1:6" ht="23.25" customHeight="1">
      <c r="A48" s="176"/>
      <c r="B48" s="176"/>
      <c r="D48" s="1261"/>
      <c r="E48" s="1261"/>
      <c r="F48" s="1261"/>
    </row>
    <row r="49" spans="1:7" ht="14.4">
      <c r="A49" s="176"/>
      <c r="B49" s="176"/>
      <c r="D49" s="35"/>
    </row>
    <row r="50" spans="1:7" ht="14.4" customHeight="1">
      <c r="A50" s="176"/>
      <c r="B50" s="469" t="s">
        <v>309</v>
      </c>
      <c r="D50" s="1261" t="s">
        <v>1195</v>
      </c>
      <c r="E50" s="1261"/>
      <c r="F50" s="1261"/>
    </row>
    <row r="51" spans="1:7" ht="14.4">
      <c r="A51" s="176"/>
      <c r="B51" s="176"/>
      <c r="D51" s="1261"/>
      <c r="E51" s="1261"/>
      <c r="F51" s="1261"/>
    </row>
    <row r="52" spans="1:7" ht="14.4">
      <c r="A52" s="176"/>
      <c r="B52" s="176"/>
      <c r="D52" s="1261"/>
      <c r="E52" s="1261"/>
      <c r="F52" s="1261"/>
    </row>
    <row r="53" spans="1:7" ht="14.4">
      <c r="A53" s="176"/>
      <c r="B53" s="176"/>
      <c r="C53" s="386"/>
      <c r="D53" s="3"/>
      <c r="E53" s="3"/>
      <c r="F53" s="3"/>
      <c r="G53" s="3"/>
    </row>
    <row r="54" spans="1:7" ht="14.4">
      <c r="A54" s="176"/>
      <c r="B54" s="469" t="s">
        <v>309</v>
      </c>
      <c r="C54" s="386"/>
      <c r="D54" s="1261" t="s">
        <v>1196</v>
      </c>
      <c r="E54" s="1261"/>
      <c r="F54" s="1261"/>
      <c r="G54" s="3"/>
    </row>
    <row r="55" spans="1:7" ht="14.4">
      <c r="A55" s="176"/>
      <c r="B55" s="176"/>
      <c r="C55" s="386"/>
      <c r="D55" s="1261"/>
      <c r="E55" s="1261"/>
      <c r="F55" s="1261"/>
      <c r="G55" s="3"/>
    </row>
    <row r="56" spans="1:7">
      <c r="D56" s="220"/>
    </row>
    <row r="57" spans="1:7" ht="14.4">
      <c r="A57" s="176"/>
      <c r="B57" s="469" t="s">
        <v>309</v>
      </c>
      <c r="D57" s="1261" t="s">
        <v>1197</v>
      </c>
      <c r="E57" s="1261"/>
      <c r="F57" s="1261"/>
    </row>
    <row r="58" spans="1:7">
      <c r="D58" s="1261"/>
      <c r="E58" s="1261"/>
      <c r="F58" s="1261"/>
    </row>
    <row r="59" spans="1:7">
      <c r="D59" s="1261"/>
      <c r="E59" s="1261"/>
      <c r="F59" s="1261"/>
    </row>
    <row r="60" spans="1:7">
      <c r="D60" s="3"/>
    </row>
    <row r="61" spans="1:7" ht="14.4">
      <c r="A61" s="176"/>
      <c r="B61" s="469" t="s">
        <v>309</v>
      </c>
      <c r="D61" s="1261" t="s">
        <v>1198</v>
      </c>
      <c r="E61" s="1261"/>
      <c r="F61" s="1261"/>
    </row>
    <row r="62" spans="1:7">
      <c r="D62" s="1261"/>
      <c r="E62" s="1261"/>
      <c r="F62" s="1261"/>
    </row>
    <row r="63" spans="1:7"/>
    <row r="64" spans="1:7" ht="14.4">
      <c r="A64" s="176"/>
      <c r="B64" s="469" t="s">
        <v>309</v>
      </c>
      <c r="D64" s="1261" t="s">
        <v>1199</v>
      </c>
      <c r="E64" s="1261"/>
      <c r="F64" s="1261"/>
    </row>
    <row r="65" spans="1:7">
      <c r="D65" s="1261"/>
      <c r="E65" s="1261"/>
      <c r="F65" s="1261"/>
    </row>
    <row r="66" spans="1:7">
      <c r="D66" s="1261"/>
      <c r="E66" s="1261"/>
      <c r="F66" s="1261"/>
    </row>
    <row r="67" spans="1:7">
      <c r="D67"/>
    </row>
    <row r="68" spans="1:7" ht="14.4">
      <c r="A68" s="176"/>
      <c r="B68" s="469" t="s">
        <v>309</v>
      </c>
      <c r="D68" s="1261" t="s">
        <v>1200</v>
      </c>
      <c r="E68" s="1261"/>
      <c r="F68" s="1261"/>
    </row>
    <row r="69" spans="1:7">
      <c r="D69" s="1261"/>
      <c r="E69" s="1261"/>
      <c r="F69" s="1261"/>
    </row>
    <row r="70" spans="1:7" ht="14.4">
      <c r="A70" s="176"/>
      <c r="B70" s="176"/>
      <c r="D70" s="35"/>
    </row>
    <row r="71" spans="1:7">
      <c r="A71" s="1282" t="s">
        <v>1107</v>
      </c>
      <c r="B71" s="1282"/>
      <c r="C71" s="1282"/>
      <c r="D71" s="1282"/>
      <c r="E71" s="1282"/>
      <c r="F71" s="1282"/>
      <c r="G71" s="1282"/>
    </row>
    <row r="72" spans="1:7"/>
    <row r="73" spans="1:7">
      <c r="C73" s="177"/>
      <c r="D73" s="1293" t="s">
        <v>1205</v>
      </c>
      <c r="E73" s="1293"/>
      <c r="F73" s="1293"/>
    </row>
    <row r="74" spans="1:7">
      <c r="A74" s="35"/>
      <c r="B74" s="35"/>
      <c r="D74" s="1261" t="s">
        <v>1232</v>
      </c>
      <c r="E74" s="1261"/>
      <c r="F74" s="1261"/>
    </row>
    <row r="75" spans="1:7">
      <c r="A75" s="35"/>
      <c r="B75" s="35"/>
    </row>
    <row r="76" spans="1:7" ht="14.4">
      <c r="A76" s="176"/>
      <c r="B76" s="469" t="s">
        <v>309</v>
      </c>
      <c r="D76" s="1261" t="s">
        <v>1206</v>
      </c>
      <c r="E76" s="1261"/>
      <c r="F76" s="1261"/>
    </row>
    <row r="77" spans="1:7" ht="14.4">
      <c r="A77" s="176"/>
      <c r="B77" s="176"/>
      <c r="D77" s="1261"/>
      <c r="E77" s="1261"/>
      <c r="F77" s="1261"/>
    </row>
    <row r="78" spans="1:7" ht="14.4">
      <c r="A78" s="176"/>
      <c r="B78" s="176"/>
      <c r="D78" s="1261"/>
      <c r="E78" s="1261"/>
      <c r="F78" s="1261"/>
    </row>
    <row r="79" spans="1:7" ht="14.4">
      <c r="A79" s="176"/>
      <c r="B79" s="176"/>
      <c r="D79" s="1261"/>
      <c r="E79" s="1261"/>
      <c r="F79" s="1261"/>
    </row>
    <row r="80" spans="1:7" ht="14.4">
      <c r="A80" s="176"/>
      <c r="B80" s="176"/>
      <c r="D80" s="1261"/>
      <c r="E80" s="1261"/>
      <c r="F80" s="1261"/>
    </row>
    <row r="81" spans="1:6" ht="14.4">
      <c r="A81" s="176"/>
      <c r="B81" s="176"/>
      <c r="D81" s="1261"/>
      <c r="E81" s="1261"/>
      <c r="F81" s="1261"/>
    </row>
    <row r="82" spans="1:6" ht="14.4">
      <c r="A82" s="176"/>
      <c r="B82" s="176"/>
      <c r="D82" s="475"/>
      <c r="E82" s="475"/>
      <c r="F82" s="475"/>
    </row>
    <row r="83" spans="1:6" ht="14.4" customHeight="1">
      <c r="A83" s="176"/>
      <c r="B83" s="469" t="s">
        <v>309</v>
      </c>
      <c r="D83" s="1264" t="s">
        <v>1305</v>
      </c>
      <c r="E83" s="1264"/>
      <c r="F83" s="1264"/>
    </row>
    <row r="84" spans="1:6" ht="14.4">
      <c r="A84" s="176"/>
      <c r="B84" s="176"/>
      <c r="D84" s="1264"/>
      <c r="E84" s="1264"/>
      <c r="F84" s="1264"/>
    </row>
    <row r="85" spans="1:6" ht="14.4">
      <c r="A85" s="176"/>
      <c r="B85" s="176"/>
      <c r="D85" s="1264"/>
      <c r="E85" s="1264"/>
      <c r="F85" s="1264"/>
    </row>
    <row r="86" spans="1:6" ht="14.4">
      <c r="A86" s="176"/>
      <c r="B86" s="176"/>
      <c r="D86" s="1264"/>
      <c r="E86" s="1264"/>
      <c r="F86" s="1264"/>
    </row>
    <row r="87" spans="1:6" ht="14.4">
      <c r="A87" s="176"/>
      <c r="B87" s="176"/>
      <c r="D87" s="1264"/>
      <c r="E87" s="1264"/>
      <c r="F87" s="1264"/>
    </row>
    <row r="88" spans="1:6" ht="14.4">
      <c r="A88" s="176"/>
      <c r="B88" s="176"/>
      <c r="D88" s="1264"/>
      <c r="E88" s="1264"/>
      <c r="F88" s="1264"/>
    </row>
    <row r="89" spans="1:6" ht="14.4">
      <c r="A89" s="176"/>
      <c r="B89" s="176"/>
      <c r="D89" s="1264"/>
      <c r="E89" s="1264"/>
      <c r="F89" s="1264"/>
    </row>
    <row r="90" spans="1:6" ht="14.4">
      <c r="A90" s="176"/>
      <c r="B90" s="176"/>
      <c r="D90" s="1264"/>
      <c r="E90" s="1264"/>
      <c r="F90" s="1264"/>
    </row>
    <row r="91" spans="1:6" ht="14.4">
      <c r="A91" s="176"/>
      <c r="B91" s="176"/>
      <c r="D91" s="1264"/>
      <c r="E91" s="1264"/>
      <c r="F91" s="1264"/>
    </row>
    <row r="92" spans="1:6" ht="14.4">
      <c r="A92" s="176"/>
      <c r="B92" s="176"/>
      <c r="D92" s="1264"/>
      <c r="E92" s="1264"/>
      <c r="F92" s="1264"/>
    </row>
    <row r="93" spans="1:6" ht="14.4">
      <c r="A93" s="176"/>
      <c r="B93" s="176"/>
      <c r="D93" s="1264"/>
      <c r="E93" s="1264"/>
      <c r="F93" s="1264"/>
    </row>
    <row r="94" spans="1:6" ht="14.4">
      <c r="A94" s="176"/>
      <c r="B94" s="176"/>
      <c r="D94" s="1264"/>
      <c r="E94" s="1264"/>
      <c r="F94" s="1264"/>
    </row>
    <row r="95" spans="1:6" ht="14.4">
      <c r="A95" s="176"/>
      <c r="B95" s="176"/>
      <c r="D95" s="1264"/>
      <c r="E95" s="1264"/>
      <c r="F95" s="1264"/>
    </row>
    <row r="96" spans="1:6" ht="14.4">
      <c r="A96" s="176"/>
      <c r="B96" s="176"/>
      <c r="D96" s="1264"/>
      <c r="E96" s="1264"/>
      <c r="F96" s="1264"/>
    </row>
    <row r="97" spans="1:11" ht="14.4">
      <c r="A97" s="176"/>
      <c r="B97" s="469" t="s">
        <v>309</v>
      </c>
      <c r="D97" s="1261" t="s">
        <v>1207</v>
      </c>
      <c r="E97" s="1261"/>
      <c r="F97" s="1261"/>
    </row>
    <row r="98" spans="1:11" ht="14.4">
      <c r="A98" s="176"/>
      <c r="B98" s="176"/>
      <c r="D98" s="1261"/>
      <c r="E98" s="1261"/>
      <c r="F98" s="1261"/>
    </row>
    <row r="99" spans="1:11" ht="14.4">
      <c r="A99" s="176"/>
      <c r="B99" s="176"/>
      <c r="D99" s="1261"/>
      <c r="E99" s="1261"/>
      <c r="F99" s="1261"/>
    </row>
    <row r="100" spans="1:11" ht="14.4">
      <c r="A100" s="176"/>
      <c r="B100" s="176"/>
      <c r="D100" s="1261"/>
      <c r="E100" s="1261"/>
      <c r="F100" s="1261"/>
    </row>
    <row r="101" spans="1:11" ht="14.4">
      <c r="A101" s="176"/>
      <c r="B101" s="176"/>
      <c r="D101" s="1261"/>
      <c r="E101" s="1261"/>
      <c r="F101" s="1261"/>
    </row>
    <row r="102" spans="1:11" ht="14.4">
      <c r="A102" s="176"/>
      <c r="B102" s="176"/>
      <c r="D102" s="1261"/>
      <c r="E102" s="1261"/>
      <c r="F102" s="1261"/>
    </row>
    <row r="103" spans="1:11" ht="14.4">
      <c r="A103" s="176"/>
      <c r="B103" s="176"/>
      <c r="D103" s="1261"/>
      <c r="E103" s="1261"/>
      <c r="F103" s="1261"/>
    </row>
    <row r="104" spans="1:11" ht="14.4">
      <c r="A104" s="176"/>
      <c r="B104" s="176"/>
      <c r="D104" s="1261"/>
      <c r="E104" s="1261"/>
      <c r="F104" s="1261"/>
    </row>
    <row r="105" spans="1:11" ht="14.4">
      <c r="A105" s="176"/>
      <c r="B105" s="176"/>
      <c r="D105" s="475"/>
      <c r="E105" s="475"/>
      <c r="F105" s="475"/>
    </row>
    <row r="106" spans="1:11" ht="14.4">
      <c r="A106" s="176"/>
      <c r="B106" s="469" t="s">
        <v>309</v>
      </c>
      <c r="C106" s="179"/>
      <c r="D106" s="1302" t="s">
        <v>1208</v>
      </c>
      <c r="E106" s="1302"/>
      <c r="F106" s="1302"/>
      <c r="G106" s="183"/>
      <c r="H106" s="181"/>
      <c r="I106" s="181"/>
      <c r="J106" s="181"/>
      <c r="K106" s="181"/>
    </row>
    <row r="107" spans="1:11" ht="14.4">
      <c r="A107" s="176"/>
      <c r="B107" s="176"/>
      <c r="C107" s="179"/>
      <c r="D107" s="1302"/>
      <c r="E107" s="1302"/>
      <c r="F107" s="1302"/>
      <c r="G107" s="183"/>
      <c r="H107" s="181"/>
      <c r="I107" s="181"/>
      <c r="J107" s="181"/>
      <c r="K107" s="181"/>
    </row>
    <row r="108" spans="1:11" ht="14.4">
      <c r="A108" s="176"/>
      <c r="B108" s="176"/>
      <c r="C108" s="179"/>
      <c r="D108" s="1302"/>
      <c r="E108" s="1302"/>
      <c r="F108" s="1302"/>
      <c r="G108" s="183"/>
      <c r="H108" s="181"/>
      <c r="I108" s="181"/>
      <c r="J108" s="181"/>
      <c r="K108" s="181"/>
    </row>
    <row r="109" spans="1:11" ht="14.4">
      <c r="A109" s="176"/>
      <c r="B109" s="176"/>
      <c r="C109" s="179"/>
      <c r="D109" s="1302"/>
      <c r="E109" s="1302"/>
      <c r="F109" s="1302"/>
      <c r="G109" s="183"/>
      <c r="H109" s="181"/>
      <c r="I109" s="181"/>
      <c r="J109" s="181"/>
      <c r="K109" s="181"/>
    </row>
    <row r="110" spans="1:11" ht="14.4">
      <c r="A110" s="176"/>
      <c r="B110" s="176"/>
      <c r="C110" s="179"/>
      <c r="D110" s="1302"/>
      <c r="E110" s="1302"/>
      <c r="F110" s="1302"/>
      <c r="G110" s="183"/>
      <c r="H110" s="181"/>
      <c r="I110" s="181"/>
      <c r="J110" s="181"/>
      <c r="K110" s="181"/>
    </row>
    <row r="111" spans="1:11">
      <c r="C111"/>
      <c r="D111" s="1302"/>
      <c r="E111" s="1302"/>
      <c r="F111" s="1302"/>
      <c r="G111"/>
    </row>
    <row r="112" spans="1:11">
      <c r="C112"/>
      <c r="D112" s="1302"/>
      <c r="E112" s="1302"/>
      <c r="F112" s="1302"/>
      <c r="G112"/>
    </row>
    <row r="113" spans="1:7">
      <c r="C113"/>
      <c r="D113" s="330"/>
      <c r="E113"/>
      <c r="F113"/>
      <c r="G113"/>
    </row>
    <row r="114" spans="1:7" ht="14.4">
      <c r="A114" s="176"/>
      <c r="B114" s="469" t="s">
        <v>309</v>
      </c>
      <c r="C114"/>
      <c r="D114" s="1303" t="s">
        <v>1209</v>
      </c>
      <c r="E114" s="1303"/>
      <c r="F114" s="1303"/>
      <c r="G114"/>
    </row>
    <row r="115" spans="1:7" ht="14.4">
      <c r="A115" s="176"/>
      <c r="B115" s="176"/>
      <c r="C115"/>
      <c r="D115" s="1303"/>
      <c r="E115" s="1303"/>
      <c r="F115" s="1303"/>
      <c r="G115"/>
    </row>
    <row r="116" spans="1:7"/>
    <row r="117" spans="1:7" ht="14.4">
      <c r="A117" s="176"/>
      <c r="B117" s="469" t="s">
        <v>309</v>
      </c>
      <c r="D117" s="1261" t="s">
        <v>1210</v>
      </c>
      <c r="E117" s="1261"/>
      <c r="F117" s="1261"/>
    </row>
    <row r="118" spans="1:7">
      <c r="D118" s="1261"/>
      <c r="E118" s="1261"/>
      <c r="F118" s="1261"/>
    </row>
    <row r="119" spans="1:7">
      <c r="D119" s="1261"/>
      <c r="E119" s="1261"/>
      <c r="F119" s="1261"/>
    </row>
    <row r="120" spans="1:7">
      <c r="D120" s="1261"/>
      <c r="E120" s="1261"/>
      <c r="F120" s="1261"/>
    </row>
    <row r="121" spans="1:7">
      <c r="D121" s="1261"/>
      <c r="E121" s="1261"/>
      <c r="F121" s="1261"/>
    </row>
    <row r="122" spans="1:7"/>
    <row r="123" spans="1:7" ht="14.4">
      <c r="A123" s="176"/>
      <c r="B123" s="469" t="s">
        <v>309</v>
      </c>
      <c r="D123" s="1261" t="s">
        <v>1211</v>
      </c>
      <c r="E123" s="1261"/>
      <c r="F123" s="1261"/>
    </row>
    <row r="124" spans="1:7" s="197" customFormat="1" ht="13.65" customHeight="1">
      <c r="A124" s="195"/>
      <c r="B124" s="195"/>
      <c r="C124" s="195"/>
      <c r="D124" s="1261"/>
      <c r="E124" s="1261"/>
      <c r="F124" s="1261"/>
      <c r="G124" s="196"/>
    </row>
    <row r="125" spans="1:7" ht="13.65" customHeight="1">
      <c r="D125" s="1261"/>
      <c r="E125" s="1261"/>
      <c r="F125" s="1261"/>
    </row>
    <row r="126" spans="1:7" ht="13.65" customHeight="1">
      <c r="D126" s="1261"/>
      <c r="E126" s="1261"/>
      <c r="F126" s="1261"/>
    </row>
    <row r="127" spans="1:7" ht="13.65" customHeight="1">
      <c r="D127" s="1261"/>
      <c r="E127" s="1261"/>
      <c r="F127" s="1261"/>
    </row>
    <row r="128" spans="1:7" ht="13.65" customHeight="1">
      <c r="A128" s="256"/>
      <c r="B128" s="256"/>
      <c r="D128" s="1261"/>
      <c r="E128" s="1261"/>
      <c r="F128" s="1261"/>
    </row>
    <row r="129" spans="2:6" ht="13.65" customHeight="1">
      <c r="D129" s="1261"/>
      <c r="E129" s="1261"/>
      <c r="F129" s="1261"/>
    </row>
    <row r="130" spans="2:6" ht="13.65" customHeight="1">
      <c r="D130" s="1261"/>
      <c r="E130" s="1261"/>
      <c r="F130" s="1261"/>
    </row>
    <row r="131" spans="2:6" ht="13.65" customHeight="1">
      <c r="D131" s="1261"/>
      <c r="E131" s="1261"/>
      <c r="F131" s="1261"/>
    </row>
    <row r="132" spans="2:6" ht="13.65" customHeight="1">
      <c r="D132" s="1261"/>
      <c r="E132" s="1261"/>
      <c r="F132" s="1261"/>
    </row>
    <row r="133" spans="2:6" ht="13.65" customHeight="1">
      <c r="D133" s="1261"/>
      <c r="E133" s="1261"/>
      <c r="F133" s="1261"/>
    </row>
    <row r="134" spans="2:6" ht="13.65" customHeight="1">
      <c r="D134" s="1261"/>
      <c r="E134" s="1261"/>
      <c r="F134" s="1261"/>
    </row>
    <row r="135" spans="2:6" ht="13.65" customHeight="1">
      <c r="D135" s="218"/>
      <c r="E135" s="35"/>
      <c r="F135" s="35"/>
    </row>
    <row r="136" spans="2:6" ht="13.65" customHeight="1">
      <c r="B136" s="469" t="s">
        <v>309</v>
      </c>
      <c r="D136" s="1261" t="s">
        <v>1319</v>
      </c>
      <c r="E136" s="1261"/>
      <c r="F136" s="1261"/>
    </row>
    <row r="137" spans="2:6" ht="13.65" customHeight="1">
      <c r="D137" s="1261"/>
      <c r="E137" s="1261"/>
      <c r="F137" s="1261"/>
    </row>
    <row r="138" spans="2:6" ht="13.65" customHeight="1">
      <c r="D138" s="1261"/>
      <c r="E138" s="1261"/>
      <c r="F138" s="1261"/>
    </row>
    <row r="139" spans="2:6" ht="13.65" customHeight="1">
      <c r="D139" s="1261"/>
      <c r="E139" s="1261"/>
      <c r="F139" s="1261"/>
    </row>
    <row r="140" spans="2:6" ht="13.65" customHeight="1">
      <c r="D140" s="1261"/>
      <c r="E140" s="1261"/>
      <c r="F140" s="1261"/>
    </row>
    <row r="141" spans="2:6" ht="13.65" customHeight="1">
      <c r="D141" s="1261"/>
      <c r="E141" s="1261"/>
      <c r="F141" s="1261"/>
    </row>
    <row r="142" spans="2:6" ht="13.65" customHeight="1">
      <c r="D142" s="1261"/>
      <c r="E142" s="1261"/>
      <c r="F142" s="1261"/>
    </row>
    <row r="143" spans="2:6" ht="13.65" customHeight="1">
      <c r="D143" s="1261"/>
      <c r="E143" s="1261"/>
      <c r="F143" s="1261"/>
    </row>
    <row r="144" spans="2:6" ht="13.65" customHeight="1">
      <c r="D144" s="1261"/>
      <c r="E144" s="1261"/>
      <c r="F144" s="1261"/>
    </row>
    <row r="145" spans="1:7" ht="13.65" customHeight="1">
      <c r="D145" s="1261"/>
      <c r="E145" s="1261"/>
      <c r="F145" s="1261"/>
    </row>
    <row r="146" spans="1:7" ht="13.65" customHeight="1">
      <c r="D146" s="1261"/>
      <c r="E146" s="1261"/>
      <c r="F146" s="1261"/>
    </row>
    <row r="147" spans="1:7" ht="13.65" customHeight="1">
      <c r="D147" s="1261"/>
      <c r="E147" s="1261"/>
      <c r="F147" s="1261"/>
    </row>
    <row r="148" spans="1:7" ht="13.65" customHeight="1">
      <c r="D148" s="1261"/>
      <c r="E148" s="1261"/>
      <c r="F148" s="1261"/>
    </row>
    <row r="149" spans="1:7" ht="13.65" customHeight="1">
      <c r="D149" s="1261"/>
      <c r="E149" s="1261"/>
      <c r="F149" s="1261"/>
    </row>
    <row r="150" spans="1:7" ht="13.65" customHeight="1">
      <c r="D150" s="1261"/>
      <c r="E150" s="1261"/>
      <c r="F150" s="1261"/>
    </row>
    <row r="151" spans="1:7" ht="13.65" customHeight="1">
      <c r="D151" s="1261"/>
      <c r="E151" s="1261"/>
      <c r="F151" s="1261"/>
    </row>
    <row r="152" spans="1:7" ht="13.65" customHeight="1">
      <c r="D152" s="1261"/>
      <c r="E152" s="1261"/>
      <c r="F152" s="1261"/>
    </row>
    <row r="153" spans="1:7" ht="13.65" customHeight="1">
      <c r="D153" s="1261"/>
      <c r="E153" s="1261"/>
      <c r="F153" s="1261"/>
    </row>
    <row r="154" spans="1:7" ht="13.65" customHeight="1">
      <c r="D154" s="1261"/>
      <c r="E154" s="1261"/>
      <c r="F154" s="1261"/>
    </row>
    <row r="155" spans="1:7" ht="13.65" customHeight="1">
      <c r="D155" s="218"/>
      <c r="E155" s="35"/>
      <c r="F155" s="35"/>
    </row>
    <row r="156" spans="1:7" ht="13.65" customHeight="1">
      <c r="A156" s="256"/>
      <c r="B156" s="469" t="s">
        <v>309</v>
      </c>
      <c r="C156" s="218"/>
      <c r="D156" s="1264" t="s">
        <v>1212</v>
      </c>
      <c r="E156" s="1264"/>
      <c r="F156" s="1264"/>
      <c r="G156" s="218"/>
    </row>
    <row r="157" spans="1:7" ht="13.65" customHeight="1">
      <c r="A157" s="256"/>
      <c r="B157" s="256"/>
      <c r="C157" s="218"/>
      <c r="D157" s="1264"/>
      <c r="E157" s="1264"/>
      <c r="F157" s="1264"/>
      <c r="G157" s="218"/>
    </row>
    <row r="158" spans="1:7" ht="13.65" customHeight="1">
      <c r="A158" s="256"/>
      <c r="B158" s="256"/>
      <c r="C158" s="218"/>
      <c r="D158" s="218"/>
      <c r="E158" s="218"/>
      <c r="F158" s="218"/>
      <c r="G158" s="218"/>
    </row>
    <row r="159" spans="1:7" ht="13.65" customHeight="1">
      <c r="A159" s="256"/>
      <c r="B159" s="469" t="s">
        <v>309</v>
      </c>
      <c r="C159" s="218"/>
      <c r="D159" s="1264" t="s">
        <v>1213</v>
      </c>
      <c r="E159" s="1264"/>
      <c r="F159" s="1264"/>
      <c r="G159" s="218"/>
    </row>
    <row r="160" spans="1:7" ht="13.65" customHeight="1">
      <c r="A160" s="256"/>
      <c r="B160" s="256"/>
      <c r="C160" s="218"/>
      <c r="D160" s="1264"/>
      <c r="E160" s="1264"/>
      <c r="F160" s="1264"/>
      <c r="G160" s="218"/>
    </row>
    <row r="161" spans="1:7" ht="13.65" customHeight="1">
      <c r="A161" s="256"/>
      <c r="B161" s="256"/>
      <c r="C161" s="218"/>
      <c r="D161" s="1264"/>
      <c r="E161" s="1264"/>
      <c r="F161" s="1264"/>
      <c r="G161" s="218"/>
    </row>
    <row r="162" spans="1:7" ht="13.65" customHeight="1">
      <c r="A162" s="256"/>
      <c r="B162" s="256"/>
      <c r="C162" s="218"/>
      <c r="D162" s="1264"/>
      <c r="E162" s="1264"/>
      <c r="F162" s="1264"/>
      <c r="G162" s="218"/>
    </row>
    <row r="163" spans="1:7" ht="13.65" customHeight="1">
      <c r="D163" s="35"/>
      <c r="E163" s="35"/>
      <c r="F163" s="35"/>
    </row>
    <row r="164" spans="1:7" ht="13.65" customHeight="1">
      <c r="B164" s="469" t="s">
        <v>309</v>
      </c>
      <c r="D164" s="1298" t="s">
        <v>1214</v>
      </c>
      <c r="E164" s="1298"/>
      <c r="F164" s="1298"/>
    </row>
    <row r="165" spans="1:7" ht="13.65" customHeight="1">
      <c r="D165" s="1298"/>
      <c r="E165" s="1298"/>
      <c r="F165" s="1298"/>
    </row>
    <row r="166" spans="1:7" ht="13.65" customHeight="1">
      <c r="D166" s="1298"/>
      <c r="E166" s="1298"/>
      <c r="F166" s="1298"/>
    </row>
    <row r="167" spans="1:7" ht="13.65" customHeight="1">
      <c r="A167" s="13"/>
      <c r="B167" s="13"/>
      <c r="E167" s="35"/>
      <c r="F167" s="35"/>
    </row>
    <row r="168" spans="1:7">
      <c r="A168" s="1282" t="s">
        <v>1108</v>
      </c>
      <c r="B168" s="1282"/>
      <c r="C168" s="1282"/>
      <c r="D168" s="1282"/>
      <c r="E168" s="1282"/>
      <c r="F168" s="1282"/>
      <c r="G168" s="1282"/>
    </row>
    <row r="169" spans="1:7" ht="12" customHeight="1">
      <c r="D169" s="35"/>
      <c r="E169" s="35"/>
      <c r="F169" s="35"/>
    </row>
    <row r="170" spans="1:7">
      <c r="B170" s="1279" t="s">
        <v>450</v>
      </c>
      <c r="C170" s="1279"/>
      <c r="D170" s="1279"/>
      <c r="E170" s="1279"/>
      <c r="F170" s="1279"/>
    </row>
    <row r="171" spans="1:7" ht="12" customHeight="1">
      <c r="A171" s="172"/>
      <c r="B171" s="172"/>
      <c r="C171" s="172"/>
    </row>
    <row r="172" spans="1:7">
      <c r="A172" s="1282" t="s">
        <v>1109</v>
      </c>
      <c r="B172" s="1282"/>
      <c r="C172" s="1282"/>
      <c r="D172" s="1282"/>
      <c r="E172" s="1282"/>
      <c r="F172" s="1282"/>
      <c r="G172" s="1282"/>
    </row>
    <row r="173" spans="1:7" ht="12" customHeight="1">
      <c r="A173" s="2"/>
      <c r="B173" s="2"/>
      <c r="E173" s="2"/>
    </row>
    <row r="174" spans="1:7" ht="13.2" customHeight="1">
      <c r="A174" s="2"/>
      <c r="B174" s="2"/>
      <c r="D174" s="1304" t="s">
        <v>1217</v>
      </c>
      <c r="E174" s="1304"/>
      <c r="F174" s="1304"/>
    </row>
    <row r="175" spans="1:7">
      <c r="A175" s="2"/>
      <c r="B175" s="2"/>
      <c r="D175" s="1304"/>
      <c r="E175" s="1304"/>
      <c r="F175" s="1304"/>
    </row>
    <row r="176" spans="1:7">
      <c r="A176" s="2"/>
      <c r="B176" s="2"/>
      <c r="D176" s="1291" t="s">
        <v>1218</v>
      </c>
      <c r="E176" s="1291"/>
      <c r="F176" s="1291"/>
    </row>
    <row r="177" spans="1:7" ht="12" customHeight="1">
      <c r="A177" s="2"/>
      <c r="B177" s="2"/>
      <c r="E177" s="2"/>
    </row>
    <row r="178" spans="1:7" ht="14.4">
      <c r="A178" s="176"/>
      <c r="B178" s="469" t="s">
        <v>309</v>
      </c>
      <c r="D178" s="1276" t="s">
        <v>1216</v>
      </c>
      <c r="E178" s="1276"/>
      <c r="F178" s="1276"/>
    </row>
    <row r="179" spans="1:7" ht="14.4">
      <c r="A179" s="176"/>
      <c r="B179" s="176"/>
      <c r="D179" s="1276"/>
      <c r="E179" s="1276"/>
      <c r="F179" s="1276"/>
    </row>
    <row r="180" spans="1:7" ht="14.4">
      <c r="A180" s="176"/>
      <c r="B180" s="176"/>
      <c r="D180" s="1276"/>
      <c r="E180" s="1276"/>
      <c r="F180" s="1276"/>
    </row>
    <row r="181" spans="1:7">
      <c r="D181" s="1276"/>
      <c r="E181" s="1276"/>
      <c r="F181" s="1276"/>
    </row>
    <row r="182" spans="1:7">
      <c r="D182" s="220"/>
    </row>
    <row r="183" spans="1:7">
      <c r="D183" s="1297" t="s">
        <v>1125</v>
      </c>
      <c r="E183" s="1297"/>
      <c r="F183" s="1297"/>
    </row>
    <row r="184" spans="1:7">
      <c r="D184" s="1297"/>
      <c r="E184" s="1297"/>
      <c r="F184" s="1297"/>
    </row>
    <row r="185" spans="1:7">
      <c r="D185" s="476"/>
      <c r="E185" s="476"/>
      <c r="F185" s="476"/>
    </row>
    <row r="186" spans="1:7" ht="14.4">
      <c r="A186" s="176"/>
      <c r="B186" s="469" t="s">
        <v>309</v>
      </c>
      <c r="C186" s="386"/>
      <c r="D186" s="1261" t="s">
        <v>1215</v>
      </c>
      <c r="E186" s="1261"/>
      <c r="F186" s="1261"/>
      <c r="G186" s="3"/>
    </row>
    <row r="187" spans="1:7" ht="14.4" customHeight="1">
      <c r="A187" s="176"/>
      <c r="B187"/>
      <c r="C187" s="386"/>
      <c r="D187" s="1261"/>
      <c r="E187" s="1261"/>
      <c r="F187" s="1261"/>
      <c r="G187" s="3"/>
    </row>
    <row r="188" spans="1:7" ht="14.4">
      <c r="A188" s="176"/>
      <c r="B188" s="386"/>
      <c r="C188" s="386"/>
      <c r="D188" s="1261"/>
      <c r="E188" s="1261"/>
      <c r="F188" s="1261"/>
      <c r="G188" s="3"/>
    </row>
    <row r="189" spans="1:7" ht="14.4">
      <c r="A189" s="176"/>
      <c r="B189" s="386"/>
      <c r="C189" s="386"/>
      <c r="D189" s="1261"/>
      <c r="E189" s="1261"/>
      <c r="F189" s="1261"/>
      <c r="G189" s="3"/>
    </row>
    <row r="190" spans="1:7">
      <c r="D190" s="476"/>
      <c r="E190" s="476"/>
      <c r="F190" s="476"/>
    </row>
    <row r="191" spans="1:7">
      <c r="A191" s="1282" t="s">
        <v>1110</v>
      </c>
      <c r="B191" s="1282"/>
      <c r="C191" s="1282"/>
      <c r="D191" s="1282"/>
      <c r="E191" s="1282"/>
      <c r="F191" s="1282"/>
      <c r="G191" s="1282"/>
    </row>
    <row r="192" spans="1:7" ht="12" customHeight="1">
      <c r="D192" s="35"/>
      <c r="E192" s="35"/>
      <c r="F192" s="35"/>
    </row>
    <row r="193" spans="1:6">
      <c r="C193" s="177"/>
      <c r="D193" s="1280" t="s">
        <v>210</v>
      </c>
      <c r="E193" s="1280"/>
      <c r="F193" s="1280"/>
    </row>
    <row r="194" spans="1:6">
      <c r="A194" s="172"/>
      <c r="B194" s="172"/>
      <c r="C194" s="172"/>
      <c r="D194" s="1281" t="s">
        <v>1239</v>
      </c>
      <c r="E194" s="1287"/>
      <c r="F194" s="1287"/>
    </row>
    <row r="195" spans="1:6" ht="12" customHeight="1">
      <c r="A195" s="13"/>
      <c r="B195" s="13"/>
      <c r="C195" s="13"/>
    </row>
    <row r="196" spans="1:6" ht="13.2" customHeight="1">
      <c r="A196" s="13"/>
      <c r="C196" s="13"/>
      <c r="D196" s="1280" t="s">
        <v>556</v>
      </c>
      <c r="E196" s="1280"/>
      <c r="F196" s="1280"/>
    </row>
    <row r="197" spans="1:6" ht="14.4">
      <c r="A197" s="176"/>
      <c r="B197" s="469" t="s">
        <v>309</v>
      </c>
      <c r="D197" s="1261" t="s">
        <v>1233</v>
      </c>
      <c r="E197" s="1261"/>
      <c r="F197" s="1261"/>
    </row>
    <row r="198" spans="1:6" ht="14.4">
      <c r="A198" s="176"/>
      <c r="B198" s="176"/>
      <c r="D198" s="1261"/>
      <c r="E198" s="1261"/>
      <c r="F198" s="1261"/>
    </row>
    <row r="199" spans="1:6"/>
    <row r="200" spans="1:6" ht="14.4">
      <c r="A200" s="176"/>
      <c r="B200" s="469" t="s">
        <v>309</v>
      </c>
      <c r="D200" s="1261" t="s">
        <v>1234</v>
      </c>
      <c r="E200" s="1261"/>
      <c r="F200" s="1261"/>
    </row>
    <row r="201" spans="1:6" ht="14.4">
      <c r="A201" s="176"/>
      <c r="B201" s="176"/>
      <c r="D201" s="1261"/>
      <c r="E201" s="1261"/>
      <c r="F201" s="1261"/>
    </row>
    <row r="202" spans="1:6" ht="14.4">
      <c r="A202" s="176"/>
      <c r="B202" s="176"/>
      <c r="D202" s="1261"/>
      <c r="E202" s="1261"/>
      <c r="F202" s="1261"/>
    </row>
    <row r="203" spans="1:6" ht="5.0999999999999996" customHeight="1">
      <c r="A203" s="176"/>
      <c r="B203" s="176"/>
      <c r="D203" s="35"/>
      <c r="E203" s="35"/>
      <c r="F203" s="35"/>
    </row>
    <row r="204" spans="1:6" ht="14.4">
      <c r="A204" s="176"/>
      <c r="B204" s="176"/>
      <c r="D204" s="1261" t="s">
        <v>1235</v>
      </c>
      <c r="E204" s="1261"/>
      <c r="F204" s="1261"/>
    </row>
    <row r="205" spans="1:6" ht="14.4">
      <c r="A205" s="176"/>
      <c r="B205" s="176"/>
      <c r="D205" s="1261"/>
      <c r="E205" s="1261"/>
      <c r="F205" s="1261"/>
    </row>
    <row r="206" spans="1:6" ht="14.4">
      <c r="A206" s="176"/>
      <c r="B206" s="176"/>
      <c r="D206" s="1261"/>
      <c r="E206" s="1261"/>
      <c r="F206" s="1261"/>
    </row>
    <row r="207" spans="1:6" ht="14.4">
      <c r="A207" s="176"/>
      <c r="B207" s="176"/>
      <c r="D207" s="1261"/>
      <c r="E207" s="1261"/>
      <c r="F207" s="1261"/>
    </row>
    <row r="208" spans="1:6" ht="14.4">
      <c r="A208" s="176"/>
      <c r="B208" s="176"/>
      <c r="D208" s="1261"/>
      <c r="E208" s="1261"/>
      <c r="F208" s="1261"/>
    </row>
    <row r="209" spans="1:7" ht="14.4">
      <c r="A209" s="176"/>
      <c r="B209" s="176"/>
      <c r="D209" s="35"/>
      <c r="E209" s="35"/>
      <c r="F209" s="35"/>
    </row>
    <row r="210" spans="1:7" ht="14.4">
      <c r="A210" s="176"/>
      <c r="B210" s="469" t="s">
        <v>309</v>
      </c>
      <c r="D210" s="1261" t="s">
        <v>1236</v>
      </c>
      <c r="E210" s="1261"/>
      <c r="F210" s="1261"/>
    </row>
    <row r="211" spans="1:7" ht="14.4">
      <c r="A211" s="176"/>
      <c r="B211" s="176"/>
      <c r="D211" s="1261"/>
      <c r="E211" s="1261"/>
      <c r="F211" s="1261"/>
    </row>
    <row r="212" spans="1:7" ht="14.4">
      <c r="A212" s="176"/>
      <c r="B212" s="176"/>
      <c r="D212" s="1279" t="s">
        <v>927</v>
      </c>
      <c r="E212" s="1279"/>
      <c r="F212" s="1279"/>
    </row>
    <row r="213" spans="1:7" ht="14.4">
      <c r="A213" s="176"/>
      <c r="B213" s="176"/>
      <c r="D213" s="35"/>
      <c r="E213" s="35"/>
      <c r="F213" s="35"/>
    </row>
    <row r="214" spans="1:7" ht="14.4" customHeight="1">
      <c r="A214" s="176"/>
      <c r="B214" s="469" t="s">
        <v>309</v>
      </c>
      <c r="D214" s="1261" t="s">
        <v>1238</v>
      </c>
      <c r="E214" s="1261"/>
      <c r="F214" s="1261"/>
    </row>
    <row r="215" spans="1:7" ht="14.4">
      <c r="A215" s="176"/>
      <c r="B215" s="176"/>
      <c r="D215" s="1261"/>
      <c r="E215" s="1261"/>
      <c r="F215" s="1261"/>
    </row>
    <row r="216" spans="1:7" ht="14.4">
      <c r="A216" s="176"/>
      <c r="B216" s="176"/>
      <c r="D216" s="1261"/>
      <c r="E216" s="1261"/>
      <c r="F216" s="1261"/>
    </row>
    <row r="217" spans="1:7" ht="14.4">
      <c r="A217" s="176"/>
      <c r="B217" s="176"/>
      <c r="D217" s="1261"/>
      <c r="E217" s="1261"/>
      <c r="F217" s="1261"/>
    </row>
    <row r="218" spans="1:7" ht="14.4">
      <c r="A218" s="176"/>
      <c r="B218" s="176"/>
      <c r="D218" s="1261"/>
      <c r="E218" s="1261"/>
      <c r="F218" s="1261"/>
    </row>
    <row r="219" spans="1:7">
      <c r="D219" s="35"/>
      <c r="E219" s="35"/>
      <c r="F219" s="35"/>
    </row>
    <row r="220" spans="1:7" ht="14.4">
      <c r="A220" s="176"/>
      <c r="B220" s="469" t="s">
        <v>309</v>
      </c>
      <c r="D220" s="1261" t="s">
        <v>1237</v>
      </c>
      <c r="E220" s="1261"/>
      <c r="F220" s="1261"/>
    </row>
    <row r="221" spans="1:7" ht="14.4">
      <c r="A221" s="176"/>
      <c r="B221" s="176"/>
      <c r="D221" s="1261"/>
      <c r="E221" s="1261"/>
      <c r="F221" s="1261"/>
    </row>
    <row r="222" spans="1:7">
      <c r="D222" s="19"/>
    </row>
    <row r="223" spans="1:7">
      <c r="A223" s="1282" t="s">
        <v>1111</v>
      </c>
      <c r="B223" s="1282"/>
      <c r="C223" s="1282"/>
      <c r="D223" s="1282"/>
      <c r="E223" s="1282"/>
      <c r="F223" s="1282"/>
      <c r="G223" s="1282"/>
    </row>
    <row r="224" spans="1:7">
      <c r="D224" s="19"/>
    </row>
    <row r="225" spans="1:6">
      <c r="C225" s="177"/>
      <c r="D225" s="1280" t="s">
        <v>1240</v>
      </c>
      <c r="E225" s="1280"/>
      <c r="F225" s="1280"/>
    </row>
    <row r="226" spans="1:6">
      <c r="A226" s="172"/>
      <c r="B226" s="172"/>
      <c r="C226" s="172"/>
      <c r="D226" s="35"/>
      <c r="E226" s="35"/>
      <c r="F226" s="35"/>
    </row>
    <row r="227" spans="1:6">
      <c r="A227" s="175"/>
      <c r="B227" s="175"/>
      <c r="C227" s="175"/>
      <c r="D227" s="1280" t="s">
        <v>271</v>
      </c>
      <c r="E227" s="1280"/>
      <c r="F227" s="1280"/>
    </row>
    <row r="228" spans="1:6" ht="14.4">
      <c r="A228" s="176"/>
      <c r="B228" s="469" t="s">
        <v>309</v>
      </c>
      <c r="D228" s="1310" t="s">
        <v>1241</v>
      </c>
      <c r="E228" s="1310"/>
      <c r="F228" s="1310"/>
    </row>
    <row r="229" spans="1:6" ht="14.4">
      <c r="A229" s="176"/>
      <c r="B229" s="176"/>
      <c r="D229" s="1310"/>
      <c r="E229" s="1310"/>
      <c r="F229" s="1310"/>
    </row>
    <row r="230" spans="1:6">
      <c r="D230" s="35"/>
      <c r="E230" s="35"/>
      <c r="F230" s="35"/>
    </row>
    <row r="231" spans="1:6" ht="14.4" customHeight="1">
      <c r="A231" s="176"/>
      <c r="B231" s="469" t="s">
        <v>309</v>
      </c>
      <c r="D231" s="1261" t="s">
        <v>1242</v>
      </c>
      <c r="E231" s="1261"/>
      <c r="F231" s="1261"/>
    </row>
    <row r="232" spans="1:6">
      <c r="D232" s="1261"/>
      <c r="E232" s="1261"/>
      <c r="F232" s="1261"/>
    </row>
    <row r="233" spans="1:6">
      <c r="D233" s="1287" t="s">
        <v>918</v>
      </c>
      <c r="E233" s="1287"/>
      <c r="F233" s="1287"/>
    </row>
    <row r="234" spans="1:6">
      <c r="D234" s="35"/>
      <c r="E234" s="35"/>
      <c r="F234" s="35"/>
    </row>
    <row r="235" spans="1:6" ht="14.4" customHeight="1">
      <c r="A235" s="176"/>
      <c r="B235" s="469" t="s">
        <v>309</v>
      </c>
      <c r="D235" s="1261" t="s">
        <v>1244</v>
      </c>
      <c r="E235" s="1261"/>
      <c r="F235" s="1261"/>
    </row>
    <row r="236" spans="1:6">
      <c r="D236" s="1261"/>
      <c r="E236" s="1261"/>
      <c r="F236" s="1261"/>
    </row>
    <row r="237" spans="1:6">
      <c r="D237" s="1261"/>
      <c r="E237" s="1261"/>
      <c r="F237" s="1261"/>
    </row>
    <row r="238" spans="1:6">
      <c r="D238" s="1261"/>
      <c r="E238" s="1261"/>
      <c r="F238" s="1261"/>
    </row>
    <row r="239" spans="1:6">
      <c r="D239" s="1261"/>
      <c r="E239" s="1261"/>
      <c r="F239" s="1261"/>
    </row>
    <row r="240" spans="1:6">
      <c r="D240" s="35"/>
      <c r="E240" s="35"/>
      <c r="F240" s="35"/>
    </row>
    <row r="241" spans="1:7" ht="14.4">
      <c r="A241" s="176"/>
      <c r="B241" s="469" t="s">
        <v>309</v>
      </c>
      <c r="D241" s="1261" t="s">
        <v>1243</v>
      </c>
      <c r="E241" s="1261"/>
      <c r="F241" s="1261"/>
    </row>
    <row r="242" spans="1:7">
      <c r="D242" s="1261"/>
      <c r="E242" s="1261"/>
      <c r="F242" s="1261"/>
    </row>
    <row r="243" spans="1:7">
      <c r="D243" s="1261"/>
      <c r="E243" s="1261"/>
      <c r="F243" s="1261"/>
    </row>
    <row r="244" spans="1:7">
      <c r="D244" s="178"/>
      <c r="E244" s="35"/>
      <c r="F244" s="35"/>
    </row>
    <row r="245" spans="1:7">
      <c r="A245" s="1282" t="s">
        <v>1112</v>
      </c>
      <c r="B245" s="1282"/>
      <c r="C245" s="1282"/>
      <c r="D245" s="1282"/>
      <c r="E245" s="1282"/>
      <c r="F245" s="1282"/>
      <c r="G245" s="1282"/>
    </row>
    <row r="246" spans="1:7">
      <c r="D246" s="178"/>
      <c r="E246" s="35"/>
      <c r="F246" s="35"/>
    </row>
    <row r="247" spans="1:7">
      <c r="C247" s="172"/>
      <c r="D247" s="1293" t="s">
        <v>1245</v>
      </c>
      <c r="E247" s="1293"/>
      <c r="F247" s="1293"/>
    </row>
    <row r="248" spans="1:7">
      <c r="C248" s="172"/>
      <c r="D248" s="1293"/>
      <c r="E248" s="1293"/>
      <c r="F248" s="1293"/>
    </row>
    <row r="249" spans="1:7">
      <c r="A249" s="175"/>
      <c r="B249" s="175"/>
      <c r="C249" s="175"/>
      <c r="D249" s="2"/>
      <c r="E249" s="3"/>
      <c r="F249" s="3"/>
    </row>
    <row r="250" spans="1:7">
      <c r="C250" s="175"/>
      <c r="D250" s="1280" t="s">
        <v>211</v>
      </c>
      <c r="E250" s="1280"/>
      <c r="F250" s="1280"/>
    </row>
    <row r="251" spans="1:7" ht="15.75" customHeight="1">
      <c r="A251" s="176"/>
      <c r="B251" s="176"/>
      <c r="D251" s="1286" t="s">
        <v>1246</v>
      </c>
      <c r="E251" s="1286"/>
      <c r="F251" s="1286"/>
    </row>
    <row r="252" spans="1:7">
      <c r="E252" s="35"/>
      <c r="F252" s="35"/>
    </row>
    <row r="253" spans="1:7" ht="14.4">
      <c r="A253" s="176"/>
      <c r="B253" s="469" t="s">
        <v>309</v>
      </c>
      <c r="D253" s="1261" t="s">
        <v>1247</v>
      </c>
      <c r="E253" s="1261"/>
      <c r="F253" s="1261"/>
    </row>
    <row r="254" spans="1:7" ht="14.4">
      <c r="A254" s="176"/>
      <c r="B254" s="176"/>
      <c r="D254" s="1261"/>
      <c r="E254" s="1261"/>
      <c r="F254" s="1261"/>
    </row>
    <row r="255" spans="1:7">
      <c r="D255" s="35"/>
      <c r="E255" s="35"/>
      <c r="F255" s="35"/>
    </row>
    <row r="256" spans="1:7" ht="14.4">
      <c r="A256" s="176"/>
      <c r="B256" s="469" t="s">
        <v>309</v>
      </c>
      <c r="D256" s="1261" t="s">
        <v>1248</v>
      </c>
      <c r="E256" s="1261"/>
      <c r="F256" s="1261"/>
    </row>
    <row r="257" spans="1:7" ht="14.4">
      <c r="A257" s="176"/>
      <c r="B257" s="176"/>
      <c r="D257" s="1261"/>
      <c r="E257" s="1261"/>
      <c r="F257" s="1261"/>
    </row>
    <row r="258" spans="1:7" ht="14.4">
      <c r="A258" s="176"/>
      <c r="B258" s="176"/>
      <c r="D258" s="1261"/>
      <c r="E258" s="1261"/>
      <c r="F258" s="1261"/>
    </row>
    <row r="259" spans="1:7">
      <c r="D259" s="35"/>
      <c r="E259" s="35"/>
      <c r="F259" s="35"/>
    </row>
    <row r="260" spans="1:7" ht="14.4">
      <c r="A260" s="176"/>
      <c r="B260" s="469" t="s">
        <v>309</v>
      </c>
      <c r="D260" s="1261" t="s">
        <v>1249</v>
      </c>
      <c r="E260" s="1261"/>
      <c r="F260" s="1261"/>
    </row>
    <row r="261" spans="1:7" ht="14.4">
      <c r="A261" s="176"/>
      <c r="B261" s="176"/>
      <c r="D261" s="1261"/>
      <c r="E261" s="1261"/>
      <c r="F261" s="1261"/>
    </row>
    <row r="262" spans="1:7">
      <c r="A262" s="13"/>
      <c r="B262" s="13"/>
      <c r="E262" s="35"/>
      <c r="F262" s="35"/>
    </row>
    <row r="263" spans="1:7">
      <c r="A263" s="1282" t="s">
        <v>1113</v>
      </c>
      <c r="B263" s="1282"/>
      <c r="C263" s="1282"/>
      <c r="D263" s="1282"/>
      <c r="E263" s="1282"/>
      <c r="F263" s="1282"/>
      <c r="G263" s="1282"/>
    </row>
    <row r="264" spans="1:7">
      <c r="A264" s="13"/>
      <c r="B264" s="13"/>
      <c r="D264" s="35"/>
      <c r="E264" s="35"/>
      <c r="F264" s="35"/>
    </row>
    <row r="265" spans="1:7">
      <c r="C265" s="13"/>
      <c r="D265" s="1280" t="s">
        <v>692</v>
      </c>
      <c r="E265" s="1280"/>
      <c r="F265" s="1280"/>
    </row>
    <row r="266" spans="1:7">
      <c r="C266" s="13"/>
      <c r="D266" s="1281" t="s">
        <v>1250</v>
      </c>
      <c r="E266" s="1281"/>
      <c r="F266" s="1281"/>
    </row>
    <row r="267" spans="1:7">
      <c r="C267" s="13"/>
      <c r="D267" s="173"/>
    </row>
    <row r="268" spans="1:7">
      <c r="B268" s="469" t="s">
        <v>309</v>
      </c>
      <c r="D268" s="1281" t="s">
        <v>1251</v>
      </c>
      <c r="E268" s="1281"/>
      <c r="F268" s="1281"/>
    </row>
    <row r="269" spans="1:7" ht="14.4">
      <c r="A269" s="176"/>
      <c r="B269" s="176"/>
      <c r="D269" s="342"/>
      <c r="E269" s="343"/>
      <c r="F269" s="343"/>
    </row>
    <row r="270" spans="1:7" ht="13.2" customHeight="1">
      <c r="B270" s="469" t="s">
        <v>309</v>
      </c>
      <c r="D270" s="1311" t="s">
        <v>1252</v>
      </c>
      <c r="E270" s="1311"/>
      <c r="F270" s="1311"/>
    </row>
    <row r="271" spans="1:7" ht="14.4">
      <c r="A271" s="176"/>
      <c r="B271" s="176"/>
      <c r="D271" s="1311"/>
      <c r="E271" s="1311"/>
      <c r="F271" s="1311"/>
    </row>
    <row r="272" spans="1:7" ht="14.4">
      <c r="A272" s="176"/>
      <c r="B272" s="176"/>
      <c r="D272" s="1311"/>
      <c r="E272" s="1311"/>
      <c r="F272" s="1311"/>
    </row>
    <row r="273" spans="1:6" ht="14.4">
      <c r="A273" s="176"/>
      <c r="B273" s="176"/>
      <c r="D273" s="1311"/>
      <c r="E273" s="1311"/>
      <c r="F273" s="1311"/>
    </row>
    <row r="274" spans="1:6" ht="14.4">
      <c r="A274" s="176"/>
      <c r="B274" s="176"/>
      <c r="D274" s="1311"/>
      <c r="E274" s="1311"/>
      <c r="F274" s="1311"/>
    </row>
    <row r="275" spans="1:6" ht="14.4">
      <c r="A275" s="176"/>
      <c r="B275" s="176"/>
      <c r="D275" s="342"/>
      <c r="E275" s="343"/>
      <c r="F275" s="343"/>
    </row>
    <row r="276" spans="1:6" ht="13.2" customHeight="1">
      <c r="B276" s="469" t="s">
        <v>309</v>
      </c>
      <c r="D276" s="1311" t="s">
        <v>1253</v>
      </c>
      <c r="E276" s="1311"/>
      <c r="F276" s="1311"/>
    </row>
    <row r="277" spans="1:6">
      <c r="D277" s="1311"/>
      <c r="E277" s="1311"/>
      <c r="F277" s="1311"/>
    </row>
    <row r="278" spans="1:6" ht="14.4">
      <c r="A278" s="176"/>
      <c r="B278" s="176"/>
      <c r="D278" s="342"/>
      <c r="E278" s="343"/>
      <c r="F278" s="343"/>
    </row>
    <row r="279" spans="1:6">
      <c r="B279" s="469" t="s">
        <v>309</v>
      </c>
      <c r="D279" s="1281" t="s">
        <v>1254</v>
      </c>
      <c r="E279" s="1281"/>
      <c r="F279" s="1281"/>
    </row>
    <row r="280" spans="1:6">
      <c r="E280" s="35"/>
      <c r="F280" s="35"/>
    </row>
    <row r="281" spans="1:6" ht="14.4">
      <c r="A281" s="176"/>
      <c r="B281" s="469" t="s">
        <v>309</v>
      </c>
      <c r="D281" s="1261" t="s">
        <v>1255</v>
      </c>
      <c r="E281" s="1261"/>
      <c r="F281" s="1261"/>
    </row>
    <row r="282" spans="1:6" ht="14.4">
      <c r="A282" s="176"/>
      <c r="B282" s="176"/>
      <c r="D282" s="1261"/>
      <c r="E282" s="1261"/>
      <c r="F282" s="1261"/>
    </row>
    <row r="283" spans="1:6" ht="14.4">
      <c r="A283" s="176"/>
      <c r="B283" s="176"/>
      <c r="D283" s="1261"/>
      <c r="E283" s="1261"/>
      <c r="F283" s="1261"/>
    </row>
    <row r="284" spans="1:6" ht="14.4">
      <c r="A284" s="176"/>
      <c r="B284" s="176"/>
      <c r="D284" s="1261"/>
      <c r="E284" s="1261"/>
      <c r="F284" s="1261"/>
    </row>
    <row r="285" spans="1:6" ht="14.4">
      <c r="A285" s="176"/>
      <c r="B285" s="176"/>
      <c r="D285" s="1261"/>
      <c r="E285" s="1261"/>
      <c r="F285" s="1261"/>
    </row>
    <row r="286" spans="1:6" ht="14.4">
      <c r="A286" s="176"/>
      <c r="B286" s="176"/>
      <c r="D286" s="1261"/>
      <c r="E286" s="1261"/>
      <c r="F286" s="1261"/>
    </row>
    <row r="287" spans="1:6" ht="14.4">
      <c r="A287" s="176"/>
      <c r="B287" s="176"/>
      <c r="D287" s="1261"/>
      <c r="E287" s="1261"/>
      <c r="F287" s="1261"/>
    </row>
    <row r="288" spans="1:6" ht="14.4">
      <c r="A288" s="176"/>
      <c r="B288" s="176"/>
      <c r="D288" s="1261"/>
      <c r="E288" s="1261"/>
      <c r="F288" s="1261"/>
    </row>
    <row r="289" spans="1:6" ht="14.4">
      <c r="A289" s="176"/>
      <c r="B289" s="176"/>
      <c r="D289" s="1261"/>
      <c r="E289" s="1261"/>
      <c r="F289" s="1261"/>
    </row>
    <row r="290" spans="1:6" ht="14.4">
      <c r="A290" s="176"/>
      <c r="B290" s="176"/>
      <c r="D290" s="1261"/>
      <c r="E290" s="1261"/>
      <c r="F290" s="1261"/>
    </row>
    <row r="291" spans="1:6" ht="14.4">
      <c r="A291" s="176"/>
      <c r="B291" s="176"/>
      <c r="D291" s="1261"/>
      <c r="E291" s="1261"/>
      <c r="F291" s="1261"/>
    </row>
    <row r="292" spans="1:6" ht="14.4">
      <c r="A292" s="176"/>
      <c r="B292" s="176"/>
      <c r="D292" s="1261"/>
      <c r="E292" s="1261"/>
      <c r="F292" s="1261"/>
    </row>
    <row r="293" spans="1:6" ht="14.4">
      <c r="A293" s="176"/>
      <c r="B293" s="176"/>
      <c r="D293" s="1261"/>
      <c r="E293" s="1261"/>
      <c r="F293" s="1261"/>
    </row>
    <row r="294" spans="1:6" ht="14.4">
      <c r="A294" s="176"/>
      <c r="B294" s="176"/>
      <c r="D294" s="1261"/>
      <c r="E294" s="1261"/>
      <c r="F294" s="1261"/>
    </row>
    <row r="295" spans="1:6" ht="14.4">
      <c r="A295" s="176"/>
      <c r="B295" s="176"/>
      <c r="D295" s="1261"/>
      <c r="E295" s="1261"/>
      <c r="F295" s="1261"/>
    </row>
    <row r="296" spans="1:6">
      <c r="D296" s="35"/>
      <c r="E296" s="35"/>
      <c r="F296" s="35"/>
    </row>
    <row r="297" spans="1:6" ht="14.4">
      <c r="A297" s="176"/>
      <c r="B297" s="469" t="s">
        <v>309</v>
      </c>
      <c r="D297" s="1261" t="s">
        <v>1256</v>
      </c>
      <c r="E297" s="1261"/>
      <c r="F297" s="1261"/>
    </row>
    <row r="298" spans="1:6">
      <c r="D298" s="1261"/>
      <c r="E298" s="1261"/>
      <c r="F298" s="1261"/>
    </row>
    <row r="299" spans="1:6">
      <c r="D299" s="1261"/>
      <c r="E299" s="1261"/>
      <c r="F299" s="1261"/>
    </row>
    <row r="300" spans="1:6">
      <c r="D300" s="1261"/>
      <c r="E300" s="1261"/>
      <c r="F300" s="1261"/>
    </row>
    <row r="301" spans="1:6">
      <c r="D301" s="1261"/>
      <c r="E301" s="1261"/>
      <c r="F301" s="1261"/>
    </row>
    <row r="302" spans="1:6">
      <c r="D302" s="1261"/>
      <c r="E302" s="1261"/>
      <c r="F302" s="1261"/>
    </row>
    <row r="303" spans="1:6">
      <c r="D303" s="1261"/>
      <c r="E303" s="1261"/>
      <c r="F303" s="1261"/>
    </row>
    <row r="304" spans="1:6">
      <c r="D304" s="1261"/>
      <c r="E304" s="1261"/>
      <c r="F304" s="1261"/>
    </row>
    <row r="305" spans="1:7">
      <c r="D305" s="1261"/>
      <c r="E305" s="1261"/>
      <c r="F305" s="1261"/>
    </row>
    <row r="306" spans="1:7">
      <c r="D306" s="35"/>
      <c r="E306" s="35"/>
      <c r="F306" s="35"/>
    </row>
    <row r="307" spans="1:7" ht="14.4">
      <c r="A307" s="176"/>
      <c r="B307" s="469" t="s">
        <v>309</v>
      </c>
      <c r="D307" s="1261" t="s">
        <v>1257</v>
      </c>
      <c r="E307" s="1261"/>
      <c r="F307" s="1261"/>
    </row>
    <row r="308" spans="1:7">
      <c r="D308" s="1261"/>
      <c r="E308" s="1261"/>
      <c r="F308" s="1261"/>
      <c r="G308"/>
    </row>
    <row r="309" spans="1:7">
      <c r="D309" s="1261"/>
      <c r="E309" s="1261"/>
      <c r="F309" s="1261"/>
      <c r="G309"/>
    </row>
    <row r="310" spans="1:7">
      <c r="D310" s="1261"/>
      <c r="E310" s="1261"/>
      <c r="F310" s="1261"/>
      <c r="G310"/>
    </row>
    <row r="311" spans="1:7">
      <c r="D311" s="1261"/>
      <c r="E311" s="1261"/>
      <c r="F311" s="1261"/>
      <c r="G311"/>
    </row>
    <row r="312" spans="1:7">
      <c r="D312" s="1261"/>
      <c r="E312" s="1261"/>
      <c r="F312" s="1261"/>
      <c r="G312"/>
    </row>
    <row r="313" spans="1:7">
      <c r="D313" s="475"/>
      <c r="E313" s="475"/>
      <c r="F313" s="475"/>
      <c r="G313"/>
    </row>
    <row r="314" spans="1:7" ht="13.8" thickBot="1">
      <c r="D314" s="1307" t="s">
        <v>1018</v>
      </c>
      <c r="E314" s="1307"/>
      <c r="F314" s="1307"/>
      <c r="G314"/>
    </row>
    <row r="315" spans="1:7" ht="13.8" thickTop="1">
      <c r="D315" s="1308" t="s">
        <v>1258</v>
      </c>
      <c r="E315" s="1308"/>
      <c r="F315" s="1308"/>
      <c r="G315"/>
    </row>
    <row r="316" spans="1:7">
      <c r="A316" s="218"/>
      <c r="B316" s="218"/>
      <c r="C316" s="218"/>
      <c r="D316" s="220"/>
      <c r="E316" s="220"/>
      <c r="F316" s="35"/>
      <c r="G316"/>
    </row>
    <row r="317" spans="1:7" ht="14.4">
      <c r="A317" s="176"/>
      <c r="B317" s="469" t="s">
        <v>309</v>
      </c>
      <c r="C317" s="218"/>
      <c r="D317" s="1309" t="s">
        <v>1259</v>
      </c>
      <c r="E317" s="1309"/>
      <c r="F317" s="1309"/>
      <c r="G317"/>
    </row>
    <row r="318" spans="1:7">
      <c r="A318" s="218"/>
      <c r="B318" s="218"/>
      <c r="C318" s="218"/>
      <c r="D318" s="220"/>
      <c r="E318" s="220"/>
      <c r="F318" s="35"/>
      <c r="G318"/>
    </row>
    <row r="319" spans="1:7">
      <c r="A319" s="218"/>
      <c r="B319" s="469" t="s">
        <v>309</v>
      </c>
      <c r="C319" s="218"/>
      <c r="D319" s="1264" t="s">
        <v>1260</v>
      </c>
      <c r="E319" s="1264"/>
      <c r="F319" s="1264"/>
      <c r="G319"/>
    </row>
    <row r="320" spans="1:7">
      <c r="A320" s="218"/>
      <c r="B320" s="218"/>
      <c r="C320" s="218"/>
      <c r="D320" s="1264"/>
      <c r="E320" s="1264"/>
      <c r="F320" s="1264"/>
      <c r="G320"/>
    </row>
    <row r="321" spans="1:7">
      <c r="A321" s="218"/>
      <c r="B321" s="218"/>
      <c r="C321" s="218"/>
      <c r="D321" s="1264"/>
      <c r="E321" s="1264"/>
      <c r="F321" s="1264"/>
      <c r="G321"/>
    </row>
    <row r="322" spans="1:7">
      <c r="A322" s="218"/>
      <c r="B322" s="218"/>
      <c r="C322" s="218"/>
      <c r="D322" s="1264"/>
      <c r="E322" s="1264"/>
      <c r="F322" s="1264"/>
      <c r="G322"/>
    </row>
    <row r="323" spans="1:7">
      <c r="A323" s="218"/>
      <c r="B323" s="218"/>
      <c r="C323" s="218"/>
      <c r="D323" s="1264"/>
      <c r="E323" s="1264"/>
      <c r="F323" s="1264"/>
      <c r="G323"/>
    </row>
    <row r="324" spans="1:7">
      <c r="A324" s="218"/>
      <c r="B324" s="218"/>
      <c r="C324" s="218"/>
      <c r="D324" s="1264"/>
      <c r="E324" s="1264"/>
      <c r="F324" s="1264"/>
      <c r="G324"/>
    </row>
    <row r="325" spans="1:7">
      <c r="A325" s="218"/>
      <c r="B325" s="218"/>
      <c r="C325" s="218"/>
      <c r="D325" s="1264"/>
      <c r="E325" s="1264"/>
      <c r="F325" s="1264"/>
      <c r="G325"/>
    </row>
    <row r="326" spans="1:7">
      <c r="A326" s="218"/>
      <c r="B326" s="218"/>
      <c r="C326" s="218"/>
      <c r="D326" s="1264"/>
      <c r="E326" s="1264"/>
      <c r="F326" s="1264"/>
      <c r="G326"/>
    </row>
    <row r="327" spans="1:7">
      <c r="A327" s="218"/>
      <c r="B327" s="218"/>
      <c r="C327" s="218"/>
      <c r="D327" s="1264"/>
      <c r="E327" s="1264"/>
      <c r="F327" s="1264"/>
      <c r="G327"/>
    </row>
    <row r="328" spans="1:7">
      <c r="A328" s="218"/>
      <c r="B328" s="218"/>
      <c r="C328" s="218"/>
      <c r="D328" s="1264"/>
      <c r="E328" s="1264"/>
      <c r="F328" s="1264"/>
      <c r="G328"/>
    </row>
    <row r="329" spans="1:7">
      <c r="A329" s="218"/>
      <c r="B329" s="218"/>
      <c r="C329" s="218"/>
      <c r="D329" s="1264"/>
      <c r="E329" s="1264"/>
      <c r="F329" s="1264"/>
      <c r="G329"/>
    </row>
    <row r="330" spans="1:7">
      <c r="A330" s="218"/>
      <c r="B330" s="218"/>
      <c r="C330" s="218"/>
      <c r="D330"/>
      <c r="E330" s="220"/>
      <c r="F330" s="35"/>
      <c r="G330"/>
    </row>
    <row r="331" spans="1:7" ht="14.4">
      <c r="A331" s="176"/>
      <c r="B331" s="469" t="s">
        <v>309</v>
      </c>
      <c r="C331" s="218"/>
      <c r="D331" s="1264" t="s">
        <v>1261</v>
      </c>
      <c r="E331" s="1264"/>
      <c r="F331" s="1264"/>
      <c r="G331"/>
    </row>
    <row r="332" spans="1:7">
      <c r="A332" s="218"/>
      <c r="B332" s="218"/>
      <c r="C332" s="218"/>
      <c r="D332" s="1264"/>
      <c r="E332" s="1264"/>
      <c r="F332" s="1264"/>
      <c r="G332"/>
    </row>
    <row r="333" spans="1:7">
      <c r="A333" s="218"/>
      <c r="B333" s="218"/>
      <c r="C333" s="218"/>
      <c r="D333" s="1264"/>
      <c r="E333" s="1264"/>
      <c r="F333" s="1264"/>
      <c r="G333"/>
    </row>
    <row r="334" spans="1:7">
      <c r="A334" s="218"/>
      <c r="B334" s="218"/>
      <c r="C334" s="218"/>
      <c r="D334" s="1264"/>
      <c r="E334" s="1264"/>
      <c r="F334" s="1264"/>
      <c r="G334"/>
    </row>
    <row r="335" spans="1:7">
      <c r="A335" s="218"/>
      <c r="B335" s="218"/>
      <c r="C335" s="218"/>
      <c r="D335" s="220"/>
      <c r="E335" s="220"/>
      <c r="F335" s="35"/>
      <c r="G335"/>
    </row>
    <row r="336" spans="1:7">
      <c r="A336" s="218"/>
      <c r="B336" s="218"/>
      <c r="C336" s="218"/>
      <c r="D336" s="1264" t="s">
        <v>1262</v>
      </c>
      <c r="E336" s="1264"/>
      <c r="F336" s="1264"/>
      <c r="G336"/>
    </row>
    <row r="337" spans="1:7">
      <c r="A337" s="218"/>
      <c r="B337" s="218"/>
      <c r="C337" s="218"/>
      <c r="D337" s="1264"/>
      <c r="E337" s="1264"/>
      <c r="F337" s="1264"/>
      <c r="G337"/>
    </row>
    <row r="338" spans="1:7">
      <c r="A338" s="218"/>
      <c r="B338" s="218"/>
      <c r="C338" s="218"/>
      <c r="D338" s="1264"/>
      <c r="E338" s="1264"/>
      <c r="F338" s="1264"/>
      <c r="G338"/>
    </row>
    <row r="339" spans="1:7">
      <c r="A339" s="218"/>
      <c r="B339" s="218"/>
      <c r="C339" s="218"/>
      <c r="D339" s="1264"/>
      <c r="E339" s="1264"/>
      <c r="F339" s="1264"/>
      <c r="G339"/>
    </row>
    <row r="340" spans="1:7" ht="18" customHeight="1">
      <c r="A340" s="218"/>
      <c r="B340" s="218"/>
      <c r="C340" s="218"/>
      <c r="D340" s="1264"/>
      <c r="E340" s="1264"/>
      <c r="F340" s="1264"/>
      <c r="G340"/>
    </row>
    <row r="341" spans="1:7">
      <c r="A341" s="218"/>
      <c r="B341" s="218"/>
      <c r="C341" s="218"/>
      <c r="D341" s="1264"/>
      <c r="E341" s="1264"/>
      <c r="F341" s="1264"/>
      <c r="G341"/>
    </row>
    <row r="342" spans="1:7">
      <c r="A342" s="218"/>
      <c r="B342" s="218"/>
      <c r="C342" s="218"/>
      <c r="D342" s="1264"/>
      <c r="E342" s="1264"/>
      <c r="F342" s="1264"/>
      <c r="G342"/>
    </row>
    <row r="343" spans="1:7">
      <c r="A343" s="218"/>
      <c r="B343" s="218"/>
      <c r="C343" s="218"/>
      <c r="D343" s="1264"/>
      <c r="E343" s="1264"/>
      <c r="F343" s="1264"/>
      <c r="G343"/>
    </row>
    <row r="344" spans="1:7" ht="8.25" customHeight="1">
      <c r="A344" s="218"/>
      <c r="B344" s="218"/>
      <c r="C344" s="218"/>
      <c r="D344" s="1264"/>
      <c r="E344" s="1264"/>
      <c r="F344" s="1264"/>
      <c r="G344"/>
    </row>
    <row r="345" spans="1:7" ht="13.2" customHeight="1">
      <c r="A345" s="218"/>
      <c r="B345" s="218"/>
      <c r="C345" s="218"/>
      <c r="D345" s="1264" t="s">
        <v>1263</v>
      </c>
      <c r="E345" s="1264"/>
      <c r="F345" s="1264"/>
      <c r="G345"/>
    </row>
    <row r="346" spans="1:7">
      <c r="A346" s="218"/>
      <c r="B346" s="218"/>
      <c r="C346" s="218"/>
      <c r="D346" s="1264"/>
      <c r="E346" s="1264"/>
      <c r="F346" s="1264"/>
      <c r="G346"/>
    </row>
    <row r="347" spans="1:7">
      <c r="A347" s="218"/>
      <c r="B347" s="218"/>
      <c r="C347" s="218"/>
      <c r="D347" s="1264"/>
      <c r="E347" s="1264"/>
      <c r="F347" s="1264"/>
      <c r="G347"/>
    </row>
    <row r="348" spans="1:7">
      <c r="A348" s="218"/>
      <c r="B348" s="218"/>
      <c r="C348" s="218"/>
      <c r="D348" s="1264"/>
      <c r="E348" s="1264"/>
      <c r="F348" s="1264"/>
      <c r="G348"/>
    </row>
    <row r="349" spans="1:7">
      <c r="A349" s="218"/>
      <c r="B349" s="218"/>
      <c r="C349" s="218"/>
      <c r="D349" s="1264"/>
      <c r="E349" s="1264"/>
      <c r="F349" s="1264"/>
      <c r="G349"/>
    </row>
    <row r="350" spans="1:7">
      <c r="A350" s="218"/>
      <c r="B350" s="218"/>
      <c r="C350" s="218"/>
      <c r="D350" s="1264"/>
      <c r="E350" s="1264"/>
      <c r="F350" s="1264"/>
      <c r="G350"/>
    </row>
    <row r="351" spans="1:7">
      <c r="A351" s="218"/>
      <c r="B351" s="218"/>
      <c r="C351" s="218"/>
      <c r="D351" s="1264"/>
      <c r="E351" s="1264"/>
      <c r="F351" s="1264"/>
      <c r="G351"/>
    </row>
    <row r="352" spans="1:7">
      <c r="A352" s="218"/>
      <c r="B352" s="218"/>
      <c r="C352" s="218"/>
      <c r="D352" s="1264"/>
      <c r="E352" s="1264"/>
      <c r="F352" s="1264"/>
      <c r="G352"/>
    </row>
    <row r="353" spans="1:7">
      <c r="A353" s="218"/>
      <c r="B353" s="218"/>
      <c r="C353" s="218"/>
      <c r="D353" s="1264"/>
      <c r="E353" s="1264"/>
      <c r="F353" s="1264"/>
      <c r="G353"/>
    </row>
    <row r="354" spans="1:7">
      <c r="A354" s="218"/>
      <c r="B354" s="218"/>
      <c r="C354" s="218"/>
      <c r="D354" s="1264"/>
      <c r="E354" s="1264"/>
      <c r="F354" s="1264"/>
      <c r="G354"/>
    </row>
    <row r="355" spans="1:7">
      <c r="A355" s="218"/>
      <c r="B355" s="218"/>
      <c r="C355" s="218"/>
      <c r="D355" s="1264"/>
      <c r="E355" s="1264"/>
      <c r="F355" s="1264"/>
      <c r="G355"/>
    </row>
    <row r="356" spans="1:7">
      <c r="A356" s="218"/>
      <c r="B356" s="218"/>
      <c r="C356" s="218"/>
      <c r="D356" s="1264"/>
      <c r="E356" s="1264"/>
      <c r="F356" s="1264"/>
      <c r="G356"/>
    </row>
    <row r="357" spans="1:7">
      <c r="A357" s="218"/>
      <c r="B357" s="218"/>
      <c r="C357" s="348"/>
      <c r="D357" s="1264"/>
      <c r="E357" s="1264"/>
      <c r="F357" s="1264"/>
      <c r="G357"/>
    </row>
    <row r="358" spans="1:7">
      <c r="A358" s="218"/>
      <c r="B358" s="218"/>
      <c r="C358" s="348"/>
      <c r="D358" s="1264"/>
      <c r="E358" s="1264"/>
      <c r="F358" s="1264"/>
      <c r="G358"/>
    </row>
    <row r="359" spans="1:7">
      <c r="A359" s="218"/>
      <c r="B359" s="218"/>
      <c r="C359" s="218"/>
      <c r="D359" s="1264"/>
      <c r="E359" s="1264"/>
      <c r="F359" s="1264"/>
      <c r="G359"/>
    </row>
    <row r="360" spans="1:7">
      <c r="A360" s="218"/>
      <c r="B360" s="218"/>
      <c r="C360" s="348"/>
      <c r="D360" s="1264"/>
      <c r="E360" s="1264"/>
      <c r="F360" s="1264"/>
      <c r="G360"/>
    </row>
    <row r="361" spans="1:7">
      <c r="A361" s="218"/>
      <c r="B361" s="218"/>
      <c r="C361" s="348"/>
      <c r="D361" s="1264"/>
      <c r="E361" s="1264"/>
      <c r="F361" s="1264"/>
      <c r="G361"/>
    </row>
    <row r="362" spans="1:7">
      <c r="A362" s="218"/>
      <c r="B362" s="218"/>
      <c r="C362" s="348"/>
      <c r="D362" s="1264"/>
      <c r="E362" s="1264"/>
      <c r="F362" s="1264"/>
      <c r="G362"/>
    </row>
    <row r="363" spans="1:7">
      <c r="A363" s="218"/>
      <c r="B363" s="218"/>
      <c r="C363" s="218"/>
      <c r="D363" s="220"/>
      <c r="E363" s="220"/>
      <c r="F363" s="35"/>
      <c r="G363"/>
    </row>
    <row r="364" spans="1:7">
      <c r="A364" s="218"/>
      <c r="B364" s="469" t="s">
        <v>309</v>
      </c>
      <c r="C364" s="218"/>
      <c r="D364" s="1264" t="s">
        <v>1264</v>
      </c>
      <c r="E364" s="1264"/>
      <c r="F364" s="1264"/>
      <c r="G364"/>
    </row>
    <row r="365" spans="1:7">
      <c r="A365" s="218"/>
      <c r="B365" s="218"/>
      <c r="C365" s="218"/>
      <c r="D365" s="1264"/>
      <c r="E365" s="1264"/>
      <c r="F365" s="1264"/>
      <c r="G365"/>
    </row>
    <row r="366" spans="1:7">
      <c r="A366" s="218"/>
      <c r="B366" s="218"/>
      <c r="C366" s="218"/>
      <c r="D366" s="220"/>
      <c r="E366" s="220"/>
      <c r="F366" s="35"/>
      <c r="G366"/>
    </row>
    <row r="367" spans="1:7" ht="14.4">
      <c r="A367" s="176"/>
      <c r="B367" s="469" t="s">
        <v>309</v>
      </c>
      <c r="C367" s="218"/>
      <c r="D367" s="1264" t="s">
        <v>1265</v>
      </c>
      <c r="E367" s="1264"/>
      <c r="F367" s="1264"/>
      <c r="G367"/>
    </row>
    <row r="368" spans="1:7" ht="14.4">
      <c r="A368" s="347"/>
      <c r="B368" s="347"/>
      <c r="C368" s="218"/>
      <c r="D368" s="1264"/>
      <c r="E368" s="1264"/>
      <c r="F368" s="1264"/>
      <c r="G368"/>
    </row>
    <row r="369" spans="1:7" ht="14.4">
      <c r="A369" s="347"/>
      <c r="B369" s="347"/>
      <c r="C369" s="218"/>
      <c r="D369" s="1264"/>
      <c r="E369" s="1264"/>
      <c r="F369" s="1264"/>
      <c r="G369"/>
    </row>
    <row r="370" spans="1:7" ht="14.4">
      <c r="A370" s="347"/>
      <c r="B370" s="347"/>
      <c r="C370" s="218"/>
      <c r="D370" s="1264"/>
      <c r="E370" s="1264"/>
      <c r="F370" s="1264"/>
      <c r="G370"/>
    </row>
    <row r="371" spans="1:7" ht="14.4">
      <c r="A371" s="347"/>
      <c r="B371" s="347"/>
      <c r="C371" s="218"/>
      <c r="D371" s="1264"/>
      <c r="E371" s="1264"/>
      <c r="F371" s="1264"/>
      <c r="G371"/>
    </row>
    <row r="372" spans="1:7">
      <c r="D372" s="35"/>
      <c r="E372" s="35"/>
      <c r="F372" s="35"/>
      <c r="G372"/>
    </row>
    <row r="373" spans="1:7" ht="14.4">
      <c r="A373" s="176"/>
      <c r="B373" s="469" t="s">
        <v>309</v>
      </c>
      <c r="C373" s="179"/>
      <c r="D373" s="1261" t="s">
        <v>1266</v>
      </c>
      <c r="E373" s="1261"/>
      <c r="F373" s="1261"/>
      <c r="G373"/>
    </row>
    <row r="374" spans="1:7" ht="14.4">
      <c r="A374" s="176"/>
      <c r="B374" s="176"/>
      <c r="D374" s="1261"/>
      <c r="E374" s="1261"/>
      <c r="F374" s="1261"/>
      <c r="G374"/>
    </row>
    <row r="375" spans="1:7">
      <c r="D375" s="1261"/>
      <c r="E375" s="1261"/>
      <c r="F375" s="1261"/>
      <c r="G375"/>
    </row>
    <row r="376" spans="1:7">
      <c r="D376" s="1261"/>
      <c r="E376" s="1261"/>
      <c r="F376" s="1261"/>
      <c r="G376"/>
    </row>
    <row r="377" spans="1:7">
      <c r="D377" s="1261"/>
      <c r="E377" s="1261"/>
      <c r="F377" s="1261"/>
      <c r="G377"/>
    </row>
    <row r="378" spans="1:7">
      <c r="D378" s="1261"/>
      <c r="E378" s="1261"/>
      <c r="F378" s="1261"/>
      <c r="G378"/>
    </row>
    <row r="379" spans="1:7">
      <c r="D379" s="1261"/>
      <c r="E379" s="1261"/>
      <c r="F379" s="1261"/>
      <c r="G379"/>
    </row>
    <row r="380" spans="1:7">
      <c r="D380" s="1261"/>
      <c r="E380" s="1261"/>
      <c r="F380" s="1261"/>
      <c r="G380"/>
    </row>
    <row r="381" spans="1:7">
      <c r="D381" s="1261"/>
      <c r="E381" s="1261"/>
      <c r="F381" s="1261"/>
      <c r="G381"/>
    </row>
    <row r="382" spans="1:7">
      <c r="D382" s="1261"/>
      <c r="E382" s="1261"/>
      <c r="F382" s="1261"/>
      <c r="G382"/>
    </row>
    <row r="383" spans="1:7">
      <c r="D383" s="1261"/>
      <c r="E383" s="1261"/>
      <c r="F383" s="1261"/>
      <c r="G383"/>
    </row>
    <row r="384" spans="1:7">
      <c r="D384" s="1261"/>
      <c r="E384" s="1261"/>
      <c r="F384" s="1261"/>
      <c r="G384"/>
    </row>
    <row r="385" spans="1:7">
      <c r="D385" s="1261"/>
      <c r="E385" s="1261"/>
      <c r="F385" s="1261"/>
      <c r="G385"/>
    </row>
    <row r="386" spans="1:7">
      <c r="A386"/>
      <c r="B386"/>
      <c r="C386"/>
      <c r="D386" s="1261"/>
      <c r="E386" s="1261"/>
      <c r="F386" s="1261"/>
      <c r="G386"/>
    </row>
    <row r="387" spans="1:7">
      <c r="A387"/>
      <c r="B387"/>
      <c r="C387"/>
      <c r="D387" s="1261"/>
      <c r="E387" s="1261"/>
      <c r="F387" s="1261"/>
      <c r="G387"/>
    </row>
    <row r="388" spans="1:7">
      <c r="A388"/>
      <c r="B388"/>
      <c r="C388"/>
      <c r="D388" s="1261"/>
      <c r="E388" s="1261"/>
      <c r="F388" s="1261"/>
      <c r="G388"/>
    </row>
    <row r="389" spans="1:7">
      <c r="A389"/>
      <c r="B389"/>
      <c r="C389"/>
      <c r="D389" s="1261"/>
      <c r="E389" s="1261"/>
      <c r="F389" s="1261"/>
      <c r="G389"/>
    </row>
    <row r="390" spans="1:7">
      <c r="A390"/>
      <c r="B390"/>
      <c r="C390"/>
      <c r="D390" s="1261"/>
      <c r="E390" s="1261"/>
      <c r="F390" s="1261"/>
      <c r="G390"/>
    </row>
    <row r="391" spans="1:7">
      <c r="A391"/>
      <c r="B391"/>
      <c r="C391"/>
      <c r="D391" s="1261"/>
      <c r="E391" s="1261"/>
      <c r="F391" s="1261"/>
      <c r="G391"/>
    </row>
    <row r="392" spans="1:7">
      <c r="A392"/>
      <c r="B392"/>
      <c r="C392"/>
      <c r="D392" s="1261"/>
      <c r="E392" s="1261"/>
      <c r="F392" s="1261"/>
      <c r="G392"/>
    </row>
    <row r="393" spans="1:7">
      <c r="A393"/>
      <c r="B393"/>
      <c r="C393"/>
      <c r="D393" s="1261"/>
      <c r="E393" s="1261"/>
      <c r="F393" s="1261"/>
      <c r="G393"/>
    </row>
    <row r="394" spans="1:7">
      <c r="A394"/>
      <c r="B394"/>
      <c r="C394"/>
      <c r="D394" s="1261"/>
      <c r="E394" s="1261"/>
      <c r="F394" s="1261"/>
      <c r="G394"/>
    </row>
    <row r="395" spans="1:7">
      <c r="A395"/>
      <c r="B395"/>
      <c r="C395"/>
      <c r="D395" s="1261"/>
      <c r="E395" s="1261"/>
      <c r="F395" s="1261"/>
      <c r="G395"/>
    </row>
    <row r="396" spans="1:7">
      <c r="A396"/>
      <c r="B396"/>
      <c r="C396"/>
      <c r="D396" s="1261"/>
      <c r="E396" s="1261"/>
      <c r="F396" s="1261"/>
      <c r="G396"/>
    </row>
    <row r="397" spans="1:7">
      <c r="A397"/>
      <c r="B397"/>
      <c r="C397"/>
      <c r="D397" s="1261"/>
      <c r="E397" s="1261"/>
      <c r="F397" s="1261"/>
      <c r="G397"/>
    </row>
    <row r="398" spans="1:7">
      <c r="A398"/>
      <c r="B398"/>
      <c r="C398"/>
      <c r="D398" s="1261"/>
      <c r="E398" s="1261"/>
      <c r="F398" s="1261"/>
      <c r="G398"/>
    </row>
    <row r="399" spans="1:7">
      <c r="A399"/>
      <c r="B399"/>
      <c r="C399"/>
      <c r="D399" s="1261"/>
      <c r="E399" s="1261"/>
      <c r="F399" s="1261"/>
      <c r="G399"/>
    </row>
    <row r="400" spans="1:7">
      <c r="A400"/>
      <c r="B400"/>
      <c r="C400"/>
      <c r="D400" s="1261"/>
      <c r="E400" s="1261"/>
      <c r="F400" s="1261"/>
      <c r="G400"/>
    </row>
    <row r="401" spans="1:7">
      <c r="A401"/>
      <c r="B401"/>
      <c r="C401"/>
      <c r="D401" s="1261"/>
      <c r="E401" s="1261"/>
      <c r="F401" s="1261"/>
      <c r="G401"/>
    </row>
    <row r="402" spans="1:7">
      <c r="D402" s="1261"/>
      <c r="E402" s="1261"/>
      <c r="F402" s="1261"/>
    </row>
    <row r="403" spans="1:7" ht="40.65" customHeight="1">
      <c r="D403" s="1261"/>
      <c r="E403" s="1261"/>
      <c r="F403" s="1261"/>
    </row>
    <row r="404" spans="1:7">
      <c r="D404" s="35"/>
      <c r="E404" s="35"/>
      <c r="F404" s="35"/>
    </row>
    <row r="405" spans="1:7" ht="14.4">
      <c r="A405" s="176"/>
      <c r="B405" s="469" t="s">
        <v>309</v>
      </c>
      <c r="C405" s="179"/>
      <c r="D405" s="1281" t="s">
        <v>1267</v>
      </c>
      <c r="E405" s="1281"/>
      <c r="F405" s="1281"/>
    </row>
    <row r="406" spans="1:7">
      <c r="D406" s="1306" t="s">
        <v>1038</v>
      </c>
      <c r="E406" s="1306"/>
      <c r="F406" s="1306"/>
    </row>
    <row r="407" spans="1:7">
      <c r="D407" s="1261" t="s">
        <v>1268</v>
      </c>
      <c r="E407" s="1261"/>
      <c r="F407" s="1261"/>
    </row>
    <row r="408" spans="1:7">
      <c r="D408" s="1261"/>
      <c r="E408" s="1261"/>
      <c r="F408" s="1261"/>
    </row>
    <row r="409" spans="1:7">
      <c r="D409" s="1261"/>
      <c r="E409" s="1261"/>
      <c r="F409" s="1261"/>
    </row>
    <row r="410" spans="1:7">
      <c r="D410" s="1261"/>
      <c r="E410" s="1261"/>
      <c r="F410" s="1261"/>
    </row>
    <row r="411" spans="1:7">
      <c r="D411" s="35"/>
      <c r="E411" s="35"/>
      <c r="F411" s="35"/>
      <c r="G411"/>
    </row>
    <row r="412" spans="1:7" ht="14.4">
      <c r="A412" s="176"/>
      <c r="B412" s="469" t="s">
        <v>309</v>
      </c>
      <c r="C412" s="179"/>
      <c r="D412" s="1261" t="s">
        <v>1269</v>
      </c>
      <c r="E412" s="1261"/>
      <c r="F412" s="1261"/>
      <c r="G412"/>
    </row>
    <row r="413" spans="1:7">
      <c r="D413" s="1261"/>
      <c r="E413" s="1261"/>
      <c r="F413" s="1261"/>
      <c r="G413"/>
    </row>
    <row r="414" spans="1:7">
      <c r="D414" s="1261"/>
      <c r="E414" s="1261"/>
      <c r="F414" s="1261"/>
      <c r="G414"/>
    </row>
    <row r="415" spans="1:7">
      <c r="D415" s="475"/>
      <c r="E415" s="475"/>
      <c r="F415" s="475"/>
      <c r="G415"/>
    </row>
    <row r="416" spans="1:7" ht="14.4">
      <c r="B416" s="469" t="s">
        <v>309</v>
      </c>
      <c r="C416" s="176"/>
      <c r="D416" s="1261" t="s">
        <v>1270</v>
      </c>
      <c r="E416" s="1261"/>
      <c r="F416" s="1261"/>
      <c r="G416"/>
    </row>
    <row r="417" spans="1:7">
      <c r="D417" s="1261"/>
      <c r="E417" s="1261"/>
      <c r="F417" s="1261"/>
      <c r="G417"/>
    </row>
    <row r="418" spans="1:7">
      <c r="D418" s="35"/>
      <c r="E418" s="35"/>
      <c r="F418" s="35"/>
      <c r="G418"/>
    </row>
    <row r="419" spans="1:7" ht="14.4">
      <c r="B419" s="469" t="s">
        <v>309</v>
      </c>
      <c r="C419" s="176"/>
      <c r="D419" s="1261" t="s">
        <v>1271</v>
      </c>
      <c r="E419" s="1261"/>
      <c r="F419" s="1261"/>
      <c r="G419"/>
    </row>
    <row r="420" spans="1:7">
      <c r="D420" s="1261"/>
      <c r="E420" s="1261"/>
      <c r="F420" s="1261"/>
      <c r="G420"/>
    </row>
    <row r="421" spans="1:7">
      <c r="D421" s="1261"/>
      <c r="E421" s="1261"/>
      <c r="F421" s="1261"/>
      <c r="G421"/>
    </row>
    <row r="422" spans="1:7">
      <c r="D422" s="1261"/>
      <c r="E422" s="1261"/>
      <c r="F422" s="1261"/>
      <c r="G422"/>
    </row>
    <row r="423" spans="1:7">
      <c r="B423" s="469" t="s">
        <v>309</v>
      </c>
      <c r="D423" s="1261"/>
      <c r="E423" s="1261"/>
      <c r="F423" s="1261"/>
      <c r="G423"/>
    </row>
    <row r="424" spans="1:7">
      <c r="A424"/>
      <c r="B424"/>
      <c r="C424"/>
      <c r="D424" s="1261"/>
      <c r="E424" s="1261"/>
      <c r="F424" s="1261"/>
      <c r="G424"/>
    </row>
    <row r="425" spans="1:7">
      <c r="A425"/>
      <c r="C425"/>
      <c r="D425" s="1261"/>
      <c r="E425" s="1261"/>
      <c r="F425" s="1261"/>
      <c r="G425"/>
    </row>
    <row r="426" spans="1:7">
      <c r="A426"/>
      <c r="B426" s="469" t="s">
        <v>309</v>
      </c>
      <c r="C426"/>
      <c r="D426" s="1261"/>
      <c r="E426" s="1261"/>
      <c r="F426" s="1261"/>
      <c r="G426"/>
    </row>
    <row r="427" spans="1:7">
      <c r="A427"/>
      <c r="B427"/>
      <c r="C427"/>
      <c r="D427" s="1261"/>
      <c r="E427" s="1261"/>
      <c r="F427" s="1261"/>
      <c r="G427"/>
    </row>
    <row r="428" spans="1:7">
      <c r="A428"/>
      <c r="C428"/>
      <c r="D428" s="1261"/>
      <c r="E428" s="1261"/>
      <c r="F428" s="1261"/>
      <c r="G428"/>
    </row>
    <row r="429" spans="1:7">
      <c r="A429"/>
      <c r="C429"/>
      <c r="D429" s="1261"/>
      <c r="E429" s="1261"/>
      <c r="F429" s="1261"/>
      <c r="G429"/>
    </row>
    <row r="430" spans="1:7">
      <c r="A430"/>
      <c r="B430" s="469" t="s">
        <v>309</v>
      </c>
      <c r="C430"/>
      <c r="D430" s="1261"/>
      <c r="E430" s="1261"/>
      <c r="F430" s="1261"/>
      <c r="G430"/>
    </row>
    <row r="431" spans="1:7">
      <c r="A431"/>
      <c r="B431"/>
      <c r="C431"/>
      <c r="D431" s="1261"/>
      <c r="E431" s="1261"/>
      <c r="F431" s="1261"/>
      <c r="G431"/>
    </row>
    <row r="432" spans="1:7">
      <c r="A432"/>
      <c r="B432" s="469" t="s">
        <v>309</v>
      </c>
      <c r="C432"/>
      <c r="D432" s="1261"/>
      <c r="E432" s="1261"/>
      <c r="F432" s="1261"/>
      <c r="G432"/>
    </row>
    <row r="433" spans="1:7">
      <c r="A433"/>
      <c r="B433"/>
      <c r="C433"/>
      <c r="D433" s="475"/>
      <c r="E433" s="475"/>
      <c r="F433" s="475"/>
      <c r="G433"/>
    </row>
    <row r="434" spans="1:7">
      <c r="A434"/>
      <c r="B434" s="469" t="s">
        <v>309</v>
      </c>
      <c r="C434"/>
      <c r="D434" s="1261" t="s">
        <v>1272</v>
      </c>
      <c r="E434" s="1261"/>
      <c r="F434" s="1261"/>
      <c r="G434"/>
    </row>
    <row r="435" spans="1:7">
      <c r="A435"/>
      <c r="B435"/>
      <c r="C435"/>
      <c r="D435" s="1261"/>
      <c r="E435" s="1261"/>
      <c r="F435" s="1261"/>
      <c r="G435"/>
    </row>
    <row r="436" spans="1:7">
      <c r="A436"/>
      <c r="B436"/>
      <c r="C436"/>
      <c r="D436" s="1261"/>
      <c r="E436" s="1261"/>
      <c r="F436" s="1261"/>
      <c r="G436"/>
    </row>
    <row r="437" spans="1:7">
      <c r="A437"/>
      <c r="B437"/>
      <c r="C437"/>
      <c r="D437" s="1261"/>
      <c r="E437" s="1261"/>
      <c r="F437" s="1261"/>
      <c r="G437"/>
    </row>
    <row r="438" spans="1:7">
      <c r="D438" s="1261"/>
      <c r="E438" s="1261"/>
      <c r="F438" s="1261"/>
    </row>
    <row r="439" spans="1:7">
      <c r="D439" s="35"/>
      <c r="E439" s="35"/>
      <c r="F439" s="35"/>
    </row>
    <row r="440" spans="1:7">
      <c r="B440" s="469" t="s">
        <v>309</v>
      </c>
      <c r="D440" s="1281" t="s">
        <v>1273</v>
      </c>
      <c r="E440" s="1281"/>
      <c r="F440" s="1281"/>
    </row>
    <row r="441" spans="1:7">
      <c r="A441" s="35"/>
      <c r="B441" s="35"/>
    </row>
    <row r="442" spans="1:7">
      <c r="A442" s="1282" t="s">
        <v>1114</v>
      </c>
      <c r="B442" s="1282"/>
      <c r="C442" s="1282"/>
      <c r="D442" s="1282"/>
      <c r="E442" s="1282"/>
      <c r="F442" s="1282"/>
      <c r="G442" s="1282"/>
    </row>
    <row r="443" spans="1:7">
      <c r="A443" s="35"/>
      <c r="B443" s="35"/>
    </row>
    <row r="444" spans="1:7">
      <c r="D444" s="1312" t="s">
        <v>912</v>
      </c>
      <c r="E444" s="1312"/>
      <c r="F444" s="1312"/>
    </row>
    <row r="445" spans="1:7" ht="14.4">
      <c r="A445" s="176"/>
      <c r="B445" s="176"/>
      <c r="D445" s="1309" t="s">
        <v>1274</v>
      </c>
      <c r="E445" s="1309"/>
      <c r="F445" s="1309"/>
    </row>
    <row r="446" spans="1:7" ht="14.4">
      <c r="A446" s="176"/>
      <c r="B446" s="176"/>
      <c r="D446" s="482"/>
      <c r="E446" s="3"/>
      <c r="F446" s="3"/>
    </row>
    <row r="447" spans="1:7" ht="14.4">
      <c r="A447" s="176"/>
      <c r="B447" s="469" t="s">
        <v>309</v>
      </c>
      <c r="D447" s="1264" t="s">
        <v>1275</v>
      </c>
      <c r="E447" s="1264"/>
      <c r="F447" s="1264"/>
    </row>
    <row r="448" spans="1:7" ht="14.4">
      <c r="A448" s="176"/>
      <c r="B448" s="176"/>
      <c r="D448" s="1264"/>
      <c r="E448" s="1264"/>
      <c r="F448" s="1264"/>
    </row>
    <row r="449" spans="1:7" ht="14.4">
      <c r="A449" s="176"/>
      <c r="B449" s="176"/>
      <c r="D449" s="118"/>
      <c r="E449" s="3"/>
      <c r="F449" s="3"/>
    </row>
    <row r="450" spans="1:7">
      <c r="B450" s="469" t="s">
        <v>309</v>
      </c>
      <c r="D450" s="1298" t="s">
        <v>1276</v>
      </c>
      <c r="E450" s="1298"/>
      <c r="F450" s="1298"/>
    </row>
    <row r="451" spans="1:7" ht="14.4">
      <c r="A451" s="176"/>
      <c r="D451" s="1298"/>
      <c r="E451" s="1298"/>
      <c r="F451" s="1298"/>
    </row>
    <row r="452" spans="1:7" ht="14.4">
      <c r="A452" s="176"/>
      <c r="B452" s="176"/>
      <c r="D452" s="1298"/>
      <c r="E452" s="1298"/>
      <c r="F452" s="1298"/>
    </row>
    <row r="453" spans="1:7" ht="14.4">
      <c r="A453" s="176"/>
      <c r="B453" s="176"/>
      <c r="D453" s="1298"/>
      <c r="E453" s="1298"/>
      <c r="F453" s="1298"/>
    </row>
    <row r="454" spans="1:7">
      <c r="D454" s="3"/>
      <c r="E454" s="3"/>
      <c r="F454" s="3"/>
      <c r="G454"/>
    </row>
    <row r="455" spans="1:7" ht="14.4">
      <c r="A455" s="176"/>
      <c r="B455" s="469" t="s">
        <v>309</v>
      </c>
      <c r="D455" s="1261" t="s">
        <v>1277</v>
      </c>
      <c r="E455" s="1261"/>
      <c r="F455" s="1261"/>
      <c r="G455"/>
    </row>
    <row r="456" spans="1:7" ht="14.4">
      <c r="A456" s="176"/>
      <c r="B456" s="176"/>
      <c r="D456" s="1261"/>
      <c r="E456" s="1261"/>
      <c r="F456" s="1261"/>
      <c r="G456"/>
    </row>
    <row r="457" spans="1:7" ht="14.4">
      <c r="A457" s="176"/>
      <c r="D457" s="1261"/>
      <c r="E457" s="1261"/>
      <c r="F457" s="1261"/>
      <c r="G457"/>
    </row>
    <row r="458" spans="1:7" ht="14.4">
      <c r="A458" s="176"/>
      <c r="B458" s="176"/>
      <c r="D458" s="3"/>
      <c r="E458" s="3"/>
      <c r="F458" s="3"/>
      <c r="G458"/>
    </row>
    <row r="459" spans="1:7" ht="14.4">
      <c r="A459" s="176"/>
      <c r="B459" s="469" t="s">
        <v>309</v>
      </c>
      <c r="D459" s="1281" t="s">
        <v>1278</v>
      </c>
      <c r="E459" s="1281"/>
      <c r="F459" s="1281"/>
      <c r="G459"/>
    </row>
    <row r="460" spans="1:7" ht="14.4">
      <c r="A460" s="176"/>
      <c r="B460" s="176"/>
      <c r="D460" s="118"/>
      <c r="E460" s="3"/>
      <c r="F460" s="3"/>
      <c r="G460"/>
    </row>
    <row r="461" spans="1:7" ht="14.4">
      <c r="A461" s="176"/>
      <c r="B461" s="469" t="s">
        <v>309</v>
      </c>
      <c r="D461" s="1261" t="s">
        <v>1279</v>
      </c>
      <c r="E461" s="1261"/>
      <c r="F461" s="1261"/>
      <c r="G461"/>
    </row>
    <row r="462" spans="1:7" ht="14.4">
      <c r="A462" s="176"/>
      <c r="D462" s="1261"/>
      <c r="E462" s="1261"/>
      <c r="F462" s="1261"/>
      <c r="G462"/>
    </row>
    <row r="463" spans="1:7">
      <c r="A463" s="13"/>
      <c r="B463" s="13"/>
      <c r="D463" s="482"/>
      <c r="E463" s="3"/>
      <c r="F463" s="3"/>
      <c r="G463"/>
    </row>
    <row r="464" spans="1:7">
      <c r="A464" s="13"/>
      <c r="B464" s="469" t="s">
        <v>309</v>
      </c>
      <c r="D464" s="1281" t="s">
        <v>1280</v>
      </c>
      <c r="E464" s="1281"/>
      <c r="F464" s="1281"/>
      <c r="G464"/>
    </row>
    <row r="465" spans="1:7" ht="14.4">
      <c r="A465" s="176"/>
      <c r="B465" s="176"/>
      <c r="D465" s="35"/>
    </row>
    <row r="466" spans="1:7">
      <c r="A466" s="1282" t="s">
        <v>1115</v>
      </c>
      <c r="B466" s="1282"/>
      <c r="C466" s="1282"/>
      <c r="D466" s="1282"/>
      <c r="E466" s="1282"/>
      <c r="F466" s="1282"/>
      <c r="G466" s="1282"/>
    </row>
    <row r="467" spans="1:7" ht="12" customHeight="1">
      <c r="A467" s="176"/>
      <c r="B467" s="176"/>
      <c r="D467" s="35"/>
    </row>
    <row r="468" spans="1:7">
      <c r="C468" s="172"/>
      <c r="D468" s="1280" t="s">
        <v>818</v>
      </c>
      <c r="E468" s="1280"/>
      <c r="F468" s="1280"/>
    </row>
    <row r="469" spans="1:7" ht="13.2" customHeight="1">
      <c r="A469" s="175"/>
      <c r="B469" s="175"/>
      <c r="C469" s="175"/>
      <c r="D469" s="1313" t="s">
        <v>1158</v>
      </c>
      <c r="E469" s="1313"/>
      <c r="F469" s="1313"/>
    </row>
    <row r="470" spans="1:7">
      <c r="A470" s="175"/>
      <c r="B470" s="175"/>
      <c r="C470" s="175"/>
      <c r="D470" s="1313"/>
      <c r="E470" s="1313"/>
      <c r="F470" s="1313"/>
    </row>
    <row r="471" spans="1:7">
      <c r="A471" s="175"/>
      <c r="B471" s="175"/>
      <c r="C471" s="175"/>
      <c r="D471" s="1313"/>
      <c r="E471" s="1313"/>
      <c r="F471" s="1313"/>
    </row>
    <row r="472" spans="1:7">
      <c r="A472" s="175"/>
      <c r="B472" s="175"/>
      <c r="C472" s="175"/>
      <c r="D472" s="1313"/>
      <c r="E472" s="1313"/>
      <c r="F472" s="1313"/>
    </row>
    <row r="473" spans="1:7">
      <c r="A473" s="175"/>
      <c r="B473" s="175"/>
      <c r="C473" s="175"/>
      <c r="D473" s="1313"/>
      <c r="E473" s="1313"/>
      <c r="F473" s="1313"/>
    </row>
    <row r="474" spans="1:7">
      <c r="A474" s="175"/>
      <c r="B474" s="175"/>
      <c r="C474" s="175"/>
      <c r="D474" s="326"/>
      <c r="F474" s="35"/>
    </row>
    <row r="475" spans="1:7" ht="14.4" customHeight="1">
      <c r="A475" s="176"/>
      <c r="B475" s="469" t="s">
        <v>309</v>
      </c>
      <c r="C475" s="175"/>
      <c r="D475" s="1297" t="s">
        <v>1149</v>
      </c>
      <c r="E475" s="1297"/>
      <c r="F475" s="1297"/>
    </row>
    <row r="476" spans="1:7">
      <c r="A476" s="175"/>
      <c r="B476" s="175"/>
      <c r="C476" s="175"/>
      <c r="D476" s="1297"/>
      <c r="E476" s="1297"/>
      <c r="F476" s="1297"/>
    </row>
    <row r="477" spans="1:7">
      <c r="A477" s="175"/>
      <c r="B477" s="175"/>
      <c r="C477" s="175"/>
      <c r="D477" s="1297"/>
      <c r="E477" s="1297"/>
      <c r="F477" s="1297"/>
    </row>
    <row r="478" spans="1:7">
      <c r="A478" s="175"/>
      <c r="B478" s="175"/>
      <c r="C478" s="175"/>
      <c r="D478" s="1297"/>
      <c r="E478" s="1297"/>
      <c r="F478" s="1297"/>
    </row>
    <row r="479" spans="1:7">
      <c r="A479" s="175"/>
      <c r="B479" s="175"/>
      <c r="C479" s="175"/>
      <c r="D479" s="1297"/>
      <c r="E479" s="1297"/>
      <c r="F479" s="1297"/>
    </row>
    <row r="480" spans="1:7">
      <c r="A480" s="175"/>
      <c r="B480" s="175"/>
      <c r="C480" s="175"/>
      <c r="D480" s="220"/>
      <c r="F480" s="35"/>
    </row>
    <row r="481" spans="1:6" ht="14.4" customHeight="1">
      <c r="A481" s="176"/>
      <c r="B481" s="469" t="s">
        <v>309</v>
      </c>
      <c r="C481" s="175"/>
      <c r="D481" s="1297" t="s">
        <v>1152</v>
      </c>
      <c r="E481" s="1297"/>
      <c r="F481" s="1297"/>
    </row>
    <row r="482" spans="1:6">
      <c r="A482" s="175"/>
      <c r="B482" s="175"/>
      <c r="C482" s="175"/>
      <c r="D482" s="1297"/>
      <c r="E482" s="1297"/>
      <c r="F482" s="1297"/>
    </row>
    <row r="483" spans="1:6">
      <c r="A483" s="175"/>
      <c r="B483" s="175"/>
      <c r="C483" s="175"/>
      <c r="D483" s="1297"/>
      <c r="E483" s="1297"/>
      <c r="F483" s="1297"/>
    </row>
    <row r="484" spans="1:6">
      <c r="A484" s="175"/>
      <c r="B484" s="175"/>
      <c r="C484" s="175"/>
      <c r="D484" s="1297"/>
      <c r="E484" s="1297"/>
      <c r="F484" s="1297"/>
    </row>
    <row r="485" spans="1:6" ht="9.9" customHeight="1">
      <c r="A485" s="175"/>
      <c r="B485" s="175"/>
      <c r="C485" s="175"/>
      <c r="D485" s="220"/>
      <c r="F485" s="35"/>
    </row>
    <row r="486" spans="1:6" ht="14.4" customHeight="1">
      <c r="A486" s="176"/>
      <c r="B486" s="469" t="s">
        <v>309</v>
      </c>
      <c r="C486" s="175"/>
      <c r="D486" s="1297" t="s">
        <v>1150</v>
      </c>
      <c r="E486" s="1297"/>
      <c r="F486" s="1297"/>
    </row>
    <row r="487" spans="1:6">
      <c r="A487" s="175"/>
      <c r="B487" s="175"/>
      <c r="C487" s="175"/>
      <c r="D487" s="1297"/>
      <c r="E487" s="1297"/>
      <c r="F487" s="1297"/>
    </row>
    <row r="488" spans="1:6">
      <c r="A488" s="175"/>
      <c r="B488" s="175"/>
      <c r="C488" s="175"/>
      <c r="D488" s="1297"/>
      <c r="E488" s="1297"/>
      <c r="F488" s="1297"/>
    </row>
    <row r="489" spans="1:6">
      <c r="A489" s="175"/>
      <c r="B489" s="175"/>
      <c r="C489" s="175"/>
      <c r="D489" s="476"/>
      <c r="E489" s="476"/>
      <c r="F489" s="476"/>
    </row>
    <row r="490" spans="1:6" ht="14.4" customHeight="1">
      <c r="A490" s="176"/>
      <c r="B490" s="469" t="s">
        <v>309</v>
      </c>
      <c r="C490" s="175"/>
      <c r="D490" s="1297" t="s">
        <v>1151</v>
      </c>
      <c r="E490" s="1297"/>
      <c r="F490" s="1297"/>
    </row>
    <row r="491" spans="1:6">
      <c r="A491" s="175"/>
      <c r="B491" s="175"/>
      <c r="C491" s="175"/>
      <c r="D491" s="1297"/>
      <c r="E491" s="1297"/>
      <c r="F491" s="1297"/>
    </row>
    <row r="492" spans="1:6">
      <c r="A492" s="175"/>
      <c r="B492" s="175"/>
      <c r="C492" s="175"/>
      <c r="D492" s="1297"/>
      <c r="E492" s="1297"/>
      <c r="F492" s="1297"/>
    </row>
    <row r="493" spans="1:6">
      <c r="A493" s="175"/>
      <c r="B493" s="175"/>
      <c r="C493" s="175"/>
      <c r="D493" s="1297"/>
      <c r="E493" s="1297"/>
      <c r="F493" s="1297"/>
    </row>
    <row r="494" spans="1:6">
      <c r="A494" s="175"/>
      <c r="B494" s="175"/>
      <c r="C494" s="175"/>
      <c r="D494" s="1297"/>
      <c r="E494" s="1297"/>
      <c r="F494" s="1297"/>
    </row>
    <row r="495" spans="1:6">
      <c r="A495" s="175"/>
      <c r="B495" s="175"/>
      <c r="C495" s="175"/>
      <c r="D495" s="1297"/>
      <c r="E495" s="1297"/>
      <c r="F495" s="1297"/>
    </row>
    <row r="496" spans="1:6">
      <c r="A496" s="175"/>
      <c r="B496" s="175"/>
      <c r="C496" s="175"/>
      <c r="D496" s="1297"/>
      <c r="E496" s="1297"/>
      <c r="F496" s="1297"/>
    </row>
    <row r="497" spans="1:7">
      <c r="A497" s="175"/>
      <c r="B497" s="175"/>
      <c r="C497" s="175"/>
      <c r="D497" s="1297"/>
      <c r="E497" s="1297"/>
      <c r="F497" s="1297"/>
    </row>
    <row r="498" spans="1:7">
      <c r="A498" s="175"/>
      <c r="B498" s="175"/>
      <c r="C498" s="175"/>
      <c r="D498" s="1297"/>
      <c r="E498" s="1297"/>
      <c r="F498" s="1297"/>
    </row>
    <row r="499" spans="1:7">
      <c r="A499" s="175"/>
      <c r="B499" s="175"/>
      <c r="C499" s="175"/>
      <c r="D499" s="220"/>
      <c r="F499" s="35"/>
    </row>
    <row r="500" spans="1:7" ht="13.2" customHeight="1">
      <c r="A500" s="175"/>
      <c r="B500" s="469" t="s">
        <v>309</v>
      </c>
      <c r="C500" s="175"/>
      <c r="D500" s="1264" t="s">
        <v>1295</v>
      </c>
      <c r="E500" s="1264"/>
      <c r="F500" s="1264"/>
    </row>
    <row r="501" spans="1:7">
      <c r="A501" s="175"/>
      <c r="B501" s="175"/>
      <c r="C501" s="175"/>
      <c r="D501" s="1264"/>
      <c r="E501" s="1264"/>
      <c r="F501" s="1264"/>
    </row>
    <row r="502" spans="1:7">
      <c r="A502" s="175"/>
      <c r="B502" s="175"/>
      <c r="C502" s="175"/>
      <c r="D502" s="1264"/>
      <c r="E502" s="1264"/>
      <c r="F502" s="1264"/>
    </row>
    <row r="503" spans="1:7">
      <c r="A503" s="175"/>
      <c r="B503" s="175"/>
      <c r="C503" s="175"/>
      <c r="D503" s="1264"/>
      <c r="E503" s="1264"/>
      <c r="F503" s="1264"/>
    </row>
    <row r="504" spans="1:7">
      <c r="A504" s="175"/>
      <c r="B504" s="175"/>
      <c r="C504" s="175"/>
      <c r="D504" s="1264"/>
      <c r="E504" s="1264"/>
      <c r="F504" s="1264"/>
    </row>
    <row r="505" spans="1:7">
      <c r="A505" s="175"/>
      <c r="B505" s="175"/>
      <c r="C505" s="175"/>
      <c r="D505" s="486"/>
      <c r="E505" s="486"/>
      <c r="F505" s="486"/>
    </row>
    <row r="506" spans="1:7" ht="14.4" customHeight="1">
      <c r="A506" s="176"/>
      <c r="B506" s="469" t="s">
        <v>309</v>
      </c>
      <c r="D506" s="1297" t="s">
        <v>1153</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c r="A510" s="1282" t="s">
        <v>1116</v>
      </c>
      <c r="B510" s="1282"/>
      <c r="C510" s="1282"/>
      <c r="D510" s="1282"/>
      <c r="E510" s="1282"/>
      <c r="F510" s="1282"/>
      <c r="G510" s="1282"/>
    </row>
    <row r="511" spans="1:7">
      <c r="A511" s="35"/>
      <c r="B511" s="35"/>
      <c r="C511" s="179"/>
      <c r="F511" s="57"/>
    </row>
    <row r="512" spans="1:7">
      <c r="B512" s="1279" t="s">
        <v>450</v>
      </c>
      <c r="C512" s="1279"/>
      <c r="D512" s="1279"/>
      <c r="E512" s="1279"/>
      <c r="F512" s="1279"/>
    </row>
    <row r="513" spans="1:7">
      <c r="A513" s="35"/>
      <c r="B513" s="35"/>
      <c r="C513" s="179"/>
      <c r="D513" s="35"/>
      <c r="F513" s="35"/>
    </row>
    <row r="514" spans="1:7">
      <c r="A514" s="1283" t="s">
        <v>1117</v>
      </c>
      <c r="B514" s="1283"/>
      <c r="C514" s="1283"/>
      <c r="D514" s="1283"/>
      <c r="E514" s="1283"/>
      <c r="F514" s="1283"/>
      <c r="G514" s="1283"/>
    </row>
    <row r="515" spans="1:7">
      <c r="A515" s="35"/>
      <c r="B515" s="35"/>
      <c r="C515" s="179"/>
      <c r="D515" s="35"/>
      <c r="F515" s="35"/>
    </row>
    <row r="516" spans="1:7">
      <c r="C516" s="179"/>
      <c r="D516" s="1280" t="s">
        <v>693</v>
      </c>
      <c r="E516" s="1280"/>
      <c r="F516" s="1280"/>
    </row>
    <row r="517" spans="1:7">
      <c r="C517" s="179"/>
      <c r="D517" s="1281" t="s">
        <v>1174</v>
      </c>
      <c r="E517" s="1281"/>
      <c r="F517" s="1281"/>
    </row>
    <row r="518" spans="1:7">
      <c r="C518" s="179"/>
      <c r="D518" s="118"/>
      <c r="E518" s="118"/>
      <c r="F518" s="118"/>
    </row>
    <row r="519" spans="1:7" ht="13.2" customHeight="1">
      <c r="A519" s="176"/>
      <c r="B519" s="469" t="s">
        <v>309</v>
      </c>
      <c r="C519" s="179"/>
      <c r="D519" s="1281" t="s">
        <v>913</v>
      </c>
      <c r="E519" s="1281"/>
      <c r="F519" s="1281"/>
      <c r="G519"/>
    </row>
    <row r="520" spans="1:7" ht="13.2" customHeight="1">
      <c r="A520" s="179"/>
      <c r="B520" s="179"/>
      <c r="C520" s="179"/>
      <c r="D520" s="118"/>
      <c r="E520"/>
      <c r="F520"/>
      <c r="G520"/>
    </row>
    <row r="521" spans="1:7" ht="14.4">
      <c r="A521" s="176"/>
      <c r="B521" s="469" t="s">
        <v>309</v>
      </c>
      <c r="C521" s="179"/>
      <c r="D521" s="1261" t="s">
        <v>1175</v>
      </c>
      <c r="E521" s="1261"/>
      <c r="F521" s="1261"/>
      <c r="G521"/>
    </row>
    <row r="522" spans="1:7">
      <c r="A522" s="179"/>
      <c r="B522" s="179"/>
      <c r="C522" s="179"/>
      <c r="D522" s="1261"/>
      <c r="E522" s="1261"/>
      <c r="F522" s="1261"/>
      <c r="G522"/>
    </row>
    <row r="523" spans="1:7">
      <c r="A523" s="179"/>
      <c r="B523" s="179"/>
      <c r="C523" s="179"/>
      <c r="D523" s="35"/>
      <c r="E523" s="35"/>
      <c r="F523" s="35"/>
      <c r="G523"/>
    </row>
    <row r="524" spans="1:7" ht="14.4">
      <c r="A524" s="176"/>
      <c r="B524" s="469" t="s">
        <v>309</v>
      </c>
      <c r="C524" s="179"/>
      <c r="D524" s="1261" t="s">
        <v>1176</v>
      </c>
      <c r="E524" s="1261"/>
      <c r="F524" s="1261"/>
      <c r="G524"/>
    </row>
    <row r="525" spans="1:7">
      <c r="A525" s="179"/>
      <c r="B525" s="179"/>
      <c r="C525" s="179"/>
      <c r="D525" s="1261"/>
      <c r="E525" s="1261"/>
      <c r="F525" s="1261"/>
      <c r="G525"/>
    </row>
    <row r="526" spans="1:7">
      <c r="A526" s="179"/>
      <c r="B526" s="179"/>
      <c r="C526" s="179"/>
      <c r="D526" s="35"/>
      <c r="E526" s="35"/>
      <c r="F526" s="35"/>
      <c r="G526"/>
    </row>
    <row r="527" spans="1:7" ht="14.4">
      <c r="A527" s="176"/>
      <c r="B527" s="469" t="s">
        <v>309</v>
      </c>
      <c r="C527" s="179"/>
      <c r="D527" s="1261" t="s">
        <v>1177</v>
      </c>
      <c r="E527" s="1261"/>
      <c r="F527" s="1261"/>
      <c r="G527"/>
    </row>
    <row r="528" spans="1:7">
      <c r="A528" s="179"/>
      <c r="B528" s="179"/>
      <c r="C528" s="179"/>
      <c r="D528" s="1261"/>
      <c r="E528" s="1261"/>
      <c r="F528" s="1261"/>
      <c r="G528"/>
    </row>
    <row r="529" spans="1:7">
      <c r="A529" s="179"/>
      <c r="B529" s="179"/>
      <c r="C529" s="179"/>
      <c r="D529" s="35"/>
      <c r="E529" s="35"/>
      <c r="F529" s="35"/>
      <c r="G529"/>
    </row>
    <row r="530" spans="1:7" ht="14.4">
      <c r="A530" s="176"/>
      <c r="B530" s="469" t="s">
        <v>309</v>
      </c>
      <c r="C530" s="179"/>
      <c r="D530" s="1261" t="s">
        <v>1178</v>
      </c>
      <c r="E530" s="1261"/>
      <c r="F530" s="1261"/>
      <c r="G530"/>
    </row>
    <row r="531" spans="1:7">
      <c r="A531" s="179"/>
      <c r="B531" s="179"/>
      <c r="C531" s="179"/>
      <c r="D531" s="1261"/>
      <c r="E531" s="1261"/>
      <c r="F531" s="1261"/>
      <c r="G531"/>
    </row>
    <row r="532" spans="1:7">
      <c r="A532" s="179"/>
      <c r="B532" s="179"/>
      <c r="C532" s="179"/>
      <c r="D532" s="1261"/>
      <c r="E532" s="1261"/>
      <c r="F532" s="1261"/>
      <c r="G532"/>
    </row>
    <row r="533" spans="1:7">
      <c r="A533" s="179"/>
      <c r="B533" s="179"/>
      <c r="C533" s="179"/>
      <c r="D533" s="35"/>
      <c r="E533" s="35"/>
      <c r="F533" s="35"/>
    </row>
    <row r="534" spans="1:7" ht="14.4">
      <c r="A534" s="176"/>
      <c r="B534" s="469" t="s">
        <v>309</v>
      </c>
      <c r="C534" s="179"/>
      <c r="D534" s="1261" t="s">
        <v>1296</v>
      </c>
      <c r="E534" s="1261"/>
      <c r="F534" s="1261"/>
    </row>
    <row r="535" spans="1:7">
      <c r="A535" s="179"/>
      <c r="B535" s="179"/>
      <c r="C535" s="179"/>
      <c r="D535" s="1261"/>
      <c r="E535" s="1261"/>
      <c r="F535" s="1261"/>
    </row>
    <row r="536" spans="1:7">
      <c r="A536" s="179"/>
      <c r="B536" s="179"/>
      <c r="C536" s="179"/>
      <c r="D536" s="35"/>
      <c r="E536" s="35"/>
      <c r="F536" s="35"/>
    </row>
    <row r="537" spans="1:7" ht="14.4">
      <c r="A537" s="176"/>
      <c r="B537" s="469" t="s">
        <v>309</v>
      </c>
      <c r="C537" s="179"/>
      <c r="D537" s="1261" t="s">
        <v>1179</v>
      </c>
      <c r="E537" s="1261"/>
      <c r="F537" s="1261"/>
    </row>
    <row r="538" spans="1:7">
      <c r="A538" s="179"/>
      <c r="B538" s="179"/>
      <c r="C538" s="179"/>
      <c r="D538" s="1261"/>
      <c r="E538" s="1261"/>
      <c r="F538" s="1261"/>
    </row>
    <row r="539" spans="1:7">
      <c r="A539" s="179"/>
      <c r="B539" s="179"/>
      <c r="C539" s="179"/>
      <c r="D539" s="35"/>
      <c r="E539" s="35"/>
      <c r="F539" s="35"/>
    </row>
    <row r="540" spans="1:7" ht="14.4">
      <c r="A540" s="176"/>
      <c r="B540" s="469" t="s">
        <v>309</v>
      </c>
      <c r="C540" s="179"/>
      <c r="D540" s="1261" t="s">
        <v>1180</v>
      </c>
      <c r="E540" s="1261"/>
      <c r="F540" s="1261"/>
    </row>
    <row r="541" spans="1:7">
      <c r="A541" s="179"/>
      <c r="B541" s="179"/>
      <c r="C541" s="179"/>
      <c r="D541" s="1261"/>
      <c r="E541" s="1261"/>
      <c r="F541" s="1261"/>
    </row>
    <row r="542" spans="1:7">
      <c r="A542" s="179"/>
      <c r="B542" s="179"/>
      <c r="C542" s="179"/>
      <c r="D542" s="35"/>
      <c r="E542" s="35"/>
      <c r="F542" s="35"/>
    </row>
    <row r="543" spans="1:7" ht="14.4">
      <c r="A543" s="176"/>
      <c r="B543" s="469" t="s">
        <v>309</v>
      </c>
      <c r="C543" s="179"/>
      <c r="D543" s="1281" t="s">
        <v>1181</v>
      </c>
      <c r="E543" s="1281"/>
      <c r="F543" s="1281"/>
    </row>
    <row r="544" spans="1:7">
      <c r="A544" s="13"/>
      <c r="B544" s="13"/>
      <c r="C544" s="179"/>
      <c r="D544" s="1281" t="s">
        <v>847</v>
      </c>
      <c r="E544" s="1281"/>
      <c r="F544" s="1281"/>
    </row>
    <row r="545" spans="1:7">
      <c r="A545" s="13"/>
      <c r="B545" s="13"/>
      <c r="C545" s="179"/>
      <c r="D545" s="3"/>
      <c r="E545" s="1286" t="s">
        <v>1182</v>
      </c>
      <c r="F545" s="1286"/>
    </row>
    <row r="546" spans="1:7" ht="14.4">
      <c r="A546" s="176"/>
      <c r="B546" s="176"/>
      <c r="C546" s="179"/>
      <c r="E546" s="35"/>
      <c r="F546" s="35"/>
    </row>
    <row r="547" spans="1:7" ht="14.4">
      <c r="A547" s="176"/>
      <c r="B547" s="469" t="s">
        <v>309</v>
      </c>
      <c r="C547" s="179"/>
      <c r="D547" s="1281" t="s">
        <v>1183</v>
      </c>
      <c r="E547" s="1281"/>
      <c r="F547" s="1281"/>
    </row>
    <row r="548" spans="1:7">
      <c r="C548" s="179"/>
      <c r="D548" s="1261" t="s">
        <v>1184</v>
      </c>
      <c r="E548" s="1261"/>
      <c r="F548" s="1261"/>
    </row>
    <row r="549" spans="1:7">
      <c r="A549" s="179"/>
      <c r="B549" s="179"/>
      <c r="C549" s="179"/>
      <c r="D549" s="1261"/>
      <c r="E549" s="1261"/>
      <c r="F549" s="1261"/>
    </row>
    <row r="550" spans="1:7">
      <c r="A550" s="179"/>
      <c r="B550" s="179"/>
      <c r="C550" s="179"/>
      <c r="D550" s="1261"/>
      <c r="E550" s="1261"/>
      <c r="F550" s="1261"/>
    </row>
    <row r="551" spans="1:7">
      <c r="A551" s="179"/>
      <c r="B551" s="179"/>
      <c r="C551" s="179"/>
      <c r="D551" s="35"/>
      <c r="E551" s="35"/>
      <c r="F551" s="35"/>
    </row>
    <row r="552" spans="1:7" ht="14.4">
      <c r="A552" s="176"/>
      <c r="B552" s="469" t="s">
        <v>309</v>
      </c>
      <c r="C552" s="179"/>
      <c r="D552" s="1261" t="s">
        <v>1185</v>
      </c>
      <c r="E552" s="1261"/>
      <c r="F552" s="1261"/>
    </row>
    <row r="553" spans="1:7" ht="14.4">
      <c r="A553" s="176"/>
      <c r="B553" s="176"/>
      <c r="C553" s="179"/>
      <c r="D553" s="1261"/>
      <c r="E553" s="1261"/>
      <c r="F553" s="1261"/>
    </row>
    <row r="554" spans="1:7" ht="14.4">
      <c r="A554" s="176"/>
      <c r="B554" s="176"/>
      <c r="C554" s="179"/>
      <c r="D554" s="1261"/>
      <c r="E554" s="1261"/>
      <c r="F554" s="1261"/>
    </row>
    <row r="555" spans="1:7" ht="14.4">
      <c r="A555" s="176"/>
      <c r="B555" s="176"/>
      <c r="C555" s="179"/>
      <c r="D555" s="1261"/>
      <c r="E555" s="1261"/>
      <c r="F555" s="1261"/>
    </row>
    <row r="556" spans="1:7" ht="14.4">
      <c r="A556" s="176"/>
      <c r="B556" s="176"/>
      <c r="C556" s="179"/>
      <c r="D556" s="35"/>
      <c r="E556" s="35"/>
      <c r="F556" s="35"/>
    </row>
    <row r="557" spans="1:7">
      <c r="A557" s="1282" t="s">
        <v>1118</v>
      </c>
      <c r="B557" s="1282"/>
      <c r="C557" s="1282"/>
      <c r="D557" s="1282"/>
      <c r="E557" s="1282"/>
      <c r="F557" s="1282"/>
      <c r="G557" s="1282"/>
    </row>
    <row r="558" spans="1:7">
      <c r="A558" s="179"/>
      <c r="B558" s="179"/>
      <c r="C558" s="179"/>
      <c r="E558" s="35"/>
      <c r="F558" s="35"/>
    </row>
    <row r="559" spans="1:7" ht="12.75" customHeight="1">
      <c r="C559" s="172"/>
      <c r="D559" s="1293" t="s">
        <v>212</v>
      </c>
      <c r="E559" s="1293"/>
      <c r="F559" s="1293"/>
    </row>
    <row r="560" spans="1:7">
      <c r="A560" s="175"/>
      <c r="B560" s="175"/>
      <c r="C560" s="175"/>
      <c r="D560" s="1298" t="s">
        <v>1134</v>
      </c>
      <c r="E560" s="1298"/>
      <c r="F560" s="1298"/>
    </row>
    <row r="561" spans="1:6">
      <c r="A561"/>
      <c r="B561"/>
      <c r="C561" s="175"/>
      <c r="D561" s="255"/>
    </row>
    <row r="562" spans="1:6">
      <c r="A562" s="175"/>
      <c r="B562" s="469" t="s">
        <v>309</v>
      </c>
      <c r="D562" s="1298" t="s">
        <v>919</v>
      </c>
      <c r="E562" s="1298"/>
      <c r="F562" s="1298"/>
    </row>
    <row r="563" spans="1:6">
      <c r="A563" s="13"/>
      <c r="B563" s="13"/>
      <c r="D563" s="218"/>
    </row>
    <row r="564" spans="1:6">
      <c r="A564" s="13"/>
      <c r="B564" s="469" t="s">
        <v>309</v>
      </c>
      <c r="D564" s="1298" t="s">
        <v>1135</v>
      </c>
      <c r="E564" s="1298"/>
      <c r="F564" s="1298"/>
    </row>
    <row r="565" spans="1:6">
      <c r="A565" s="13"/>
      <c r="B565" s="13"/>
      <c r="D565" s="1298"/>
      <c r="E565" s="1298"/>
      <c r="F565" s="1298"/>
    </row>
    <row r="566" spans="1:6">
      <c r="A566" s="13"/>
      <c r="B566" s="13"/>
      <c r="D566" s="1298"/>
      <c r="E566" s="1298"/>
      <c r="F566" s="1298"/>
    </row>
    <row r="567" spans="1:6">
      <c r="A567" s="13"/>
      <c r="B567" s="13"/>
      <c r="D567" s="255"/>
    </row>
    <row r="568" spans="1:6">
      <c r="A568" s="13"/>
      <c r="B568" s="469" t="s">
        <v>309</v>
      </c>
      <c r="D568" s="1298" t="s">
        <v>1136</v>
      </c>
      <c r="E568" s="1298"/>
      <c r="F568" s="1298"/>
    </row>
    <row r="569" spans="1:6">
      <c r="A569" s="13"/>
      <c r="B569" s="13"/>
      <c r="D569" s="1298"/>
      <c r="E569" s="1298"/>
      <c r="F569" s="1298"/>
    </row>
    <row r="570" spans="1:6">
      <c r="A570" s="13"/>
      <c r="B570" s="13"/>
      <c r="D570" s="1298"/>
      <c r="E570" s="1298"/>
      <c r="F570" s="1298"/>
    </row>
    <row r="571" spans="1:6">
      <c r="A571" s="13"/>
      <c r="B571" s="13"/>
      <c r="D571" s="1298"/>
      <c r="E571" s="1298"/>
      <c r="F571" s="1298"/>
    </row>
    <row r="572" spans="1:6">
      <c r="A572" s="13"/>
      <c r="B572" s="13"/>
      <c r="D572" s="474"/>
      <c r="E572" s="474"/>
      <c r="F572" s="474"/>
    </row>
    <row r="573" spans="1:6">
      <c r="A573" s="13"/>
      <c r="B573" s="469" t="s">
        <v>309</v>
      </c>
      <c r="D573" s="1298" t="s">
        <v>1137</v>
      </c>
      <c r="E573" s="1298"/>
      <c r="F573" s="1298"/>
    </row>
    <row r="574" spans="1:6">
      <c r="A574" s="13"/>
      <c r="B574" s="13"/>
      <c r="D574" s="1298"/>
      <c r="E574" s="1298"/>
      <c r="F574" s="1298"/>
    </row>
    <row r="575" spans="1:6">
      <c r="A575" s="13"/>
      <c r="B575" s="13"/>
      <c r="D575" s="255"/>
    </row>
    <row r="576" spans="1:6">
      <c r="A576" s="13"/>
      <c r="B576" s="469" t="s">
        <v>309</v>
      </c>
      <c r="D576" s="1298" t="s">
        <v>1138</v>
      </c>
      <c r="E576" s="1298"/>
      <c r="F576" s="1298"/>
    </row>
    <row r="577" spans="1:7">
      <c r="A577" s="13"/>
      <c r="B577" s="13"/>
      <c r="D577" s="1298"/>
      <c r="E577" s="1298"/>
      <c r="F577" s="1298"/>
    </row>
    <row r="578" spans="1:7">
      <c r="A578" s="13"/>
      <c r="B578" s="13"/>
      <c r="D578" s="255"/>
    </row>
    <row r="579" spans="1:7" ht="14.4">
      <c r="A579" s="176"/>
      <c r="B579" s="469" t="s">
        <v>309</v>
      </c>
      <c r="D579" s="1298" t="s">
        <v>914</v>
      </c>
      <c r="E579" s="1298"/>
      <c r="F579" s="1298"/>
    </row>
    <row r="580" spans="1:7" ht="14.4">
      <c r="A580" s="176"/>
      <c r="B580" s="176"/>
      <c r="D580" s="255"/>
    </row>
    <row r="581" spans="1:7" ht="14.4">
      <c r="A581" s="176"/>
      <c r="B581" s="469" t="s">
        <v>309</v>
      </c>
      <c r="D581" s="1298" t="s">
        <v>1139</v>
      </c>
      <c r="E581" s="1298"/>
      <c r="F581" s="1298"/>
    </row>
    <row r="582" spans="1:7" ht="14.4">
      <c r="A582" s="176"/>
      <c r="B582" s="176"/>
      <c r="D582" s="1298"/>
      <c r="E582" s="1298"/>
      <c r="F582" s="1298"/>
    </row>
    <row r="583" spans="1:7">
      <c r="D583" s="1298"/>
      <c r="E583" s="1298"/>
      <c r="F583" s="1298"/>
    </row>
    <row r="584" spans="1:7">
      <c r="D584" s="1298"/>
      <c r="E584" s="1298"/>
      <c r="F584" s="1298"/>
    </row>
    <row r="585" spans="1:7">
      <c r="D585" s="1298"/>
      <c r="E585" s="1298"/>
      <c r="F585" s="1298"/>
    </row>
    <row r="586" spans="1:7">
      <c r="D586" s="1298"/>
      <c r="E586" s="1298"/>
      <c r="F586" s="1298"/>
    </row>
    <row r="587" spans="1:7"/>
    <row r="588" spans="1:7">
      <c r="A588" s="1282" t="s">
        <v>1119</v>
      </c>
      <c r="B588" s="1282"/>
      <c r="C588" s="1282"/>
      <c r="D588" s="1282"/>
      <c r="E588" s="1282"/>
      <c r="F588" s="1282"/>
      <c r="G588" s="1282"/>
    </row>
    <row r="589" spans="1:7"/>
    <row r="590" spans="1:7">
      <c r="D590" s="1274" t="s">
        <v>1219</v>
      </c>
      <c r="E590" s="1274"/>
      <c r="F590" s="1274"/>
    </row>
    <row r="591" spans="1:7">
      <c r="D591" s="1275" t="s">
        <v>1220</v>
      </c>
      <c r="E591" s="1275"/>
      <c r="F591" s="1275"/>
    </row>
    <row r="592" spans="1:7">
      <c r="D592" s="479"/>
      <c r="E592" s="434"/>
      <c r="F592" s="434"/>
    </row>
    <row r="593" spans="1:7" ht="14.4">
      <c r="A593" s="176"/>
      <c r="B593" s="469" t="s">
        <v>309</v>
      </c>
      <c r="D593" s="1276" t="s">
        <v>1221</v>
      </c>
      <c r="E593" s="1276"/>
      <c r="F593" s="1276"/>
    </row>
    <row r="594" spans="1:7">
      <c r="D594" s="1276"/>
      <c r="E594" s="1276"/>
      <c r="F594" s="1276"/>
    </row>
    <row r="595" spans="1:7">
      <c r="D595" s="1276"/>
      <c r="E595" s="1276"/>
      <c r="F595" s="1276"/>
    </row>
    <row r="596" spans="1:7"/>
    <row r="597" spans="1:7">
      <c r="A597" s="1282" t="s">
        <v>1120</v>
      </c>
      <c r="B597" s="1282"/>
      <c r="C597" s="1282"/>
      <c r="D597" s="1282"/>
      <c r="E597" s="1282"/>
      <c r="F597" s="1282"/>
      <c r="G597" s="1282"/>
    </row>
    <row r="598" spans="1:7">
      <c r="A598" s="35"/>
      <c r="B598" s="35"/>
    </row>
    <row r="599" spans="1:7">
      <c r="A599" s="172"/>
      <c r="B599" s="172"/>
      <c r="C599" s="172"/>
      <c r="D599" s="1277" t="s">
        <v>1222</v>
      </c>
      <c r="E599" s="1277"/>
      <c r="F599" s="1277"/>
    </row>
    <row r="600" spans="1:7">
      <c r="A600" s="172"/>
      <c r="B600" s="172"/>
      <c r="C600" s="172"/>
      <c r="D600" s="1277"/>
      <c r="E600" s="1277"/>
      <c r="F600" s="1277"/>
    </row>
    <row r="601" spans="1:7">
      <c r="C601" s="175"/>
      <c r="D601" s="1275" t="s">
        <v>1223</v>
      </c>
      <c r="E601" s="1275"/>
      <c r="F601" s="1275"/>
    </row>
    <row r="602" spans="1:7">
      <c r="C602" s="175"/>
      <c r="D602" s="479"/>
      <c r="E602" s="479"/>
      <c r="F602" s="479"/>
    </row>
    <row r="603" spans="1:7">
      <c r="A603" s="13"/>
      <c r="B603" s="469" t="s">
        <v>309</v>
      </c>
      <c r="D603" s="1275" t="s">
        <v>434</v>
      </c>
      <c r="E603" s="1275"/>
      <c r="F603" s="1275"/>
    </row>
    <row r="604" spans="1:7">
      <c r="C604" s="180"/>
      <c r="E604"/>
    </row>
    <row r="605" spans="1:7">
      <c r="A605" s="13"/>
      <c r="B605" s="469" t="s">
        <v>309</v>
      </c>
      <c r="D605" s="1278" t="s">
        <v>1224</v>
      </c>
      <c r="E605" s="1278"/>
      <c r="F605" s="1278"/>
    </row>
    <row r="606" spans="1:7">
      <c r="D606" s="1278"/>
      <c r="E606" s="1278"/>
      <c r="F606" s="1278"/>
    </row>
    <row r="607" spans="1:7">
      <c r="D607"/>
    </row>
    <row r="608" spans="1:7">
      <c r="B608" s="469" t="s">
        <v>309</v>
      </c>
      <c r="D608" s="1278" t="s">
        <v>1225</v>
      </c>
      <c r="E608" s="1278"/>
      <c r="F608" s="1278"/>
    </row>
    <row r="609" spans="1:7">
      <c r="C609" s="180"/>
      <c r="D609" s="1278"/>
      <c r="E609" s="1278"/>
      <c r="F609" s="1278"/>
    </row>
    <row r="610" spans="1:7">
      <c r="C610" s="180"/>
    </row>
    <row r="611" spans="1:7">
      <c r="B611" s="469" t="s">
        <v>309</v>
      </c>
      <c r="C611" s="180"/>
      <c r="D611" s="1278" t="s">
        <v>1226</v>
      </c>
      <c r="E611" s="1278"/>
      <c r="F611" s="1278"/>
    </row>
    <row r="612" spans="1:7">
      <c r="C612" s="180"/>
      <c r="D612" s="1278"/>
      <c r="E612" s="1278"/>
      <c r="F612" s="1278"/>
    </row>
    <row r="613" spans="1:7">
      <c r="C613" s="180"/>
    </row>
    <row r="614" spans="1:7">
      <c r="A614" s="1282" t="s">
        <v>1121</v>
      </c>
      <c r="B614" s="1282"/>
      <c r="C614" s="1282"/>
      <c r="D614" s="1282"/>
      <c r="E614" s="1282"/>
      <c r="F614" s="1282"/>
      <c r="G614" s="1282"/>
    </row>
    <row r="615" spans="1:7">
      <c r="A615" s="172"/>
      <c r="B615" s="172"/>
      <c r="C615" s="172"/>
    </row>
    <row r="616" spans="1:7">
      <c r="C616" s="13"/>
      <c r="D616" s="1274" t="s">
        <v>1227</v>
      </c>
      <c r="E616" s="1274"/>
      <c r="F616" s="1274"/>
    </row>
    <row r="617" spans="1:7">
      <c r="A617" s="13"/>
      <c r="B617" s="13"/>
      <c r="D617" s="2"/>
    </row>
    <row r="618" spans="1:7" ht="14.4">
      <c r="A618" s="176"/>
      <c r="B618" s="469" t="s">
        <v>309</v>
      </c>
      <c r="D618" s="1276" t="s">
        <v>1228</v>
      </c>
      <c r="E618" s="1276"/>
      <c r="F618" s="1276"/>
    </row>
    <row r="619" spans="1:7">
      <c r="D619" s="1276"/>
      <c r="E619" s="1276"/>
      <c r="F619" s="1276"/>
    </row>
    <row r="620" spans="1:7">
      <c r="D620" s="1276"/>
      <c r="E620" s="1276"/>
      <c r="F620" s="1276"/>
    </row>
    <row r="621" spans="1:7">
      <c r="D621" s="1276"/>
      <c r="E621" s="1276"/>
      <c r="F621" s="1276"/>
    </row>
    <row r="622" spans="1:7">
      <c r="D622" s="1276"/>
      <c r="E622" s="1276"/>
      <c r="F622" s="1276"/>
    </row>
    <row r="623" spans="1:7">
      <c r="D623" s="1276"/>
      <c r="E623" s="1276"/>
      <c r="F623" s="1276"/>
    </row>
    <row r="624" spans="1:7">
      <c r="D624" s="480"/>
      <c r="E624" s="480"/>
      <c r="F624" s="480"/>
    </row>
    <row r="625" spans="1:7" ht="14.4">
      <c r="A625" s="176"/>
      <c r="B625" s="469" t="s">
        <v>309</v>
      </c>
      <c r="D625" s="1276" t="s">
        <v>1229</v>
      </c>
      <c r="E625" s="1276"/>
      <c r="F625" s="1276"/>
    </row>
    <row r="626" spans="1:7">
      <c r="A626" s="179"/>
      <c r="B626" s="179"/>
      <c r="C626" s="179"/>
      <c r="D626" s="1276"/>
      <c r="E626" s="1276"/>
      <c r="F626" s="1276"/>
    </row>
    <row r="627" spans="1:7">
      <c r="A627" s="179"/>
      <c r="B627" s="179"/>
      <c r="C627" s="179"/>
      <c r="D627" s="35"/>
      <c r="E627" s="35"/>
      <c r="F627" s="35"/>
    </row>
    <row r="628" spans="1:7" ht="14.4">
      <c r="A628" s="176"/>
      <c r="B628" s="469" t="s">
        <v>309</v>
      </c>
      <c r="C628" s="179"/>
      <c r="D628" s="1276" t="s">
        <v>1230</v>
      </c>
      <c r="E628" s="1276"/>
      <c r="F628" s="1276"/>
    </row>
    <row r="629" spans="1:7" ht="14.4">
      <c r="A629" s="176"/>
      <c r="B629" s="176"/>
      <c r="C629" s="179"/>
      <c r="D629" s="1276"/>
      <c r="E629" s="1276"/>
      <c r="F629" s="1276"/>
    </row>
    <row r="630" spans="1:7" ht="14.4">
      <c r="A630" s="176"/>
      <c r="B630" s="176"/>
      <c r="C630" s="179"/>
      <c r="D630" s="1276"/>
      <c r="E630" s="1276"/>
      <c r="F630" s="1276"/>
    </row>
    <row r="631" spans="1:7">
      <c r="A631" s="179"/>
      <c r="B631" s="179"/>
      <c r="C631" s="179"/>
      <c r="D631" s="1276"/>
      <c r="E631" s="1276"/>
      <c r="F631" s="1276"/>
    </row>
    <row r="632" spans="1:7">
      <c r="A632" s="179"/>
      <c r="B632" s="179"/>
      <c r="C632" s="179"/>
      <c r="D632" s="480"/>
      <c r="E632" s="480"/>
      <c r="F632" s="480"/>
    </row>
    <row r="633" spans="1:7">
      <c r="A633" s="179"/>
      <c r="B633" s="469" t="s">
        <v>309</v>
      </c>
      <c r="C633" s="179"/>
      <c r="D633" s="1305" t="s">
        <v>1231</v>
      </c>
      <c r="E633" s="1305"/>
      <c r="F633" s="1305"/>
    </row>
    <row r="634" spans="1:7">
      <c r="A634" s="179"/>
      <c r="B634" s="179"/>
      <c r="C634" s="179"/>
      <c r="D634" s="481"/>
      <c r="E634" s="481"/>
      <c r="F634" s="481"/>
    </row>
    <row r="635" spans="1:7">
      <c r="A635" s="1282" t="s">
        <v>1122</v>
      </c>
      <c r="B635" s="1282"/>
      <c r="C635" s="1282"/>
      <c r="D635" s="1282"/>
      <c r="E635" s="1282"/>
      <c r="F635" s="1282"/>
      <c r="G635" s="1282"/>
    </row>
    <row r="636" spans="1:7">
      <c r="A636" s="35"/>
      <c r="B636" s="35"/>
      <c r="C636" s="179"/>
      <c r="D636" s="35"/>
      <c r="E636" s="35"/>
      <c r="F636" s="35"/>
    </row>
    <row r="637" spans="1:7">
      <c r="C637" s="172"/>
      <c r="D637" s="1280" t="s">
        <v>1281</v>
      </c>
      <c r="E637" s="1280"/>
      <c r="F637" s="1280"/>
    </row>
    <row r="638" spans="1:7">
      <c r="A638" s="175"/>
      <c r="B638" s="175"/>
      <c r="C638" s="175"/>
      <c r="D638" s="1281" t="s">
        <v>1282</v>
      </c>
      <c r="E638" s="1281"/>
      <c r="F638" s="1281"/>
    </row>
    <row r="639" spans="1:7">
      <c r="A639" s="175"/>
      <c r="B639" s="175"/>
      <c r="C639" s="175"/>
      <c r="D639" s="118"/>
      <c r="E639" s="118"/>
      <c r="F639" s="118"/>
    </row>
    <row r="640" spans="1:7" ht="14.4" customHeight="1">
      <c r="A640" s="176"/>
      <c r="B640" s="469" t="s">
        <v>309</v>
      </c>
      <c r="C640" s="179"/>
      <c r="D640" s="1261" t="s">
        <v>1283</v>
      </c>
      <c r="E640" s="1261"/>
      <c r="F640" s="1261"/>
    </row>
    <row r="641" spans="1:11" ht="14.4">
      <c r="A641" s="176"/>
      <c r="B641" s="176"/>
      <c r="C641" s="179"/>
      <c r="D641" s="1261"/>
      <c r="E641" s="1261"/>
      <c r="F641" s="1261"/>
    </row>
    <row r="642" spans="1:11" ht="14.4">
      <c r="A642" s="176"/>
      <c r="B642" s="176"/>
      <c r="C642" s="179"/>
      <c r="D642" s="1261"/>
      <c r="E642" s="1261"/>
      <c r="F642" s="1261"/>
    </row>
    <row r="643" spans="1:11" ht="14.4">
      <c r="A643" s="176"/>
      <c r="B643" s="176"/>
      <c r="C643" s="179"/>
      <c r="D643" s="1261"/>
      <c r="E643" s="1261"/>
      <c r="F643" s="1261"/>
    </row>
    <row r="644" spans="1:11" ht="14.4">
      <c r="A644" s="176"/>
      <c r="B644" s="176"/>
      <c r="C644" s="179"/>
      <c r="D644" s="1261"/>
      <c r="E644" s="1261"/>
      <c r="F644" s="1261"/>
    </row>
    <row r="645" spans="1:11" ht="14.4">
      <c r="A645" s="176"/>
      <c r="B645" s="176"/>
      <c r="C645" s="179"/>
      <c r="D645" s="475"/>
      <c r="E645" s="475"/>
      <c r="F645" s="475"/>
    </row>
    <row r="646" spans="1:11" ht="14.4">
      <c r="A646" s="176"/>
      <c r="B646" s="469" t="s">
        <v>309</v>
      </c>
      <c r="C646" s="179"/>
      <c r="D646" s="1295" t="s">
        <v>1133</v>
      </c>
      <c r="E646" s="1295"/>
      <c r="F646" s="1295"/>
    </row>
    <row r="647" spans="1:11" ht="14.4">
      <c r="A647" s="176"/>
      <c r="B647" s="176"/>
      <c r="C647" s="179"/>
      <c r="D647" s="1294" t="s">
        <v>1284</v>
      </c>
      <c r="E647" s="1294"/>
      <c r="F647" s="1294"/>
    </row>
    <row r="648" spans="1:11" ht="14.4">
      <c r="A648" s="176"/>
      <c r="B648" s="176"/>
      <c r="C648" s="179"/>
      <c r="D648" s="1294"/>
      <c r="E648" s="1294"/>
      <c r="F648" s="1294"/>
    </row>
    <row r="649" spans="1:11" ht="14.4">
      <c r="A649" s="176"/>
      <c r="B649" s="176"/>
      <c r="C649" s="179"/>
      <c r="D649" s="1294"/>
      <c r="E649" s="1294"/>
      <c r="F649" s="1294"/>
    </row>
    <row r="650" spans="1:11" ht="14.4">
      <c r="A650" s="176"/>
      <c r="B650" s="176"/>
      <c r="C650" s="179"/>
      <c r="D650" s="1294"/>
      <c r="E650" s="1294"/>
      <c r="F650" s="1294"/>
    </row>
    <row r="651" spans="1:11" ht="14.4">
      <c r="A651" s="176"/>
      <c r="B651" s="176"/>
      <c r="C651" s="179"/>
      <c r="D651" s="1294"/>
      <c r="E651" s="1294"/>
      <c r="F651" s="1294"/>
    </row>
    <row r="652" spans="1:11" ht="14.4">
      <c r="A652" s="176"/>
      <c r="B652" s="176"/>
      <c r="C652" s="179"/>
      <c r="D652" s="1296" t="s">
        <v>1285</v>
      </c>
      <c r="E652" s="1296"/>
      <c r="F652" s="1296"/>
    </row>
    <row r="653" spans="1:11">
      <c r="A653" s="179"/>
      <c r="B653" s="179"/>
      <c r="C653" s="179"/>
      <c r="D653" s="35"/>
      <c r="E653" s="35"/>
      <c r="F653" s="35"/>
    </row>
    <row r="654" spans="1:11">
      <c r="A654" s="1282" t="s">
        <v>1123</v>
      </c>
      <c r="B654" s="1282"/>
      <c r="C654" s="1282"/>
      <c r="D654" s="1282"/>
      <c r="E654" s="1282"/>
      <c r="F654" s="1282"/>
      <c r="G654" s="1282"/>
      <c r="H654" s="181"/>
      <c r="I654" s="181"/>
      <c r="J654" s="181"/>
      <c r="K654" s="181"/>
    </row>
    <row r="655" spans="1:11">
      <c r="A655" s="483"/>
      <c r="B655" s="483"/>
      <c r="C655" s="483"/>
      <c r="D655" s="483"/>
      <c r="E655" s="483"/>
      <c r="F655" s="483"/>
      <c r="G655" s="483"/>
      <c r="H655" s="181"/>
      <c r="I655" s="181"/>
      <c r="J655" s="181"/>
      <c r="K655" s="181"/>
    </row>
    <row r="656" spans="1:11">
      <c r="C656" s="172"/>
      <c r="D656" s="1280" t="s">
        <v>100</v>
      </c>
      <c r="E656" s="1280"/>
      <c r="F656" s="1280"/>
      <c r="H656" s="181"/>
      <c r="I656" s="181"/>
      <c r="J656" s="181"/>
      <c r="K656" s="181"/>
    </row>
    <row r="657" spans="1:11">
      <c r="A657" s="172"/>
      <c r="B657" s="172"/>
      <c r="C657" s="172"/>
      <c r="D657" s="1280" t="s">
        <v>124</v>
      </c>
      <c r="E657" s="1280"/>
      <c r="F657" s="1280"/>
      <c r="H657" s="181"/>
      <c r="I657" s="181"/>
      <c r="J657" s="181"/>
      <c r="K657" s="181"/>
    </row>
    <row r="658" spans="1:11">
      <c r="A658" s="175"/>
      <c r="B658" s="175"/>
      <c r="C658" s="175"/>
      <c r="D658" s="1281" t="s">
        <v>1159</v>
      </c>
      <c r="E658" s="1281"/>
      <c r="F658" s="1281"/>
      <c r="H658" s="181"/>
      <c r="I658" s="181"/>
      <c r="J658" s="181"/>
      <c r="K658" s="181"/>
    </row>
    <row r="659" spans="1:11">
      <c r="A659" s="175"/>
      <c r="B659" s="175"/>
      <c r="C659" s="175"/>
      <c r="H659" s="181"/>
      <c r="I659" s="181"/>
      <c r="J659" s="181"/>
      <c r="K659" s="181"/>
    </row>
    <row r="660" spans="1:11" ht="14.4">
      <c r="A660" s="176"/>
      <c r="B660" s="469" t="s">
        <v>309</v>
      </c>
      <c r="C660" s="175"/>
      <c r="D660" s="1281" t="s">
        <v>915</v>
      </c>
      <c r="E660" s="1281"/>
      <c r="F660" s="1281"/>
      <c r="H660" s="181"/>
      <c r="I660" s="181"/>
      <c r="J660" s="181"/>
      <c r="K660" s="181"/>
    </row>
    <row r="661" spans="1:11">
      <c r="A661" s="175"/>
      <c r="B661" s="175"/>
      <c r="C661" s="175"/>
      <c r="D661" s="1281" t="s">
        <v>926</v>
      </c>
      <c r="E661" s="1281"/>
      <c r="F661" s="1281"/>
      <c r="H661" s="181"/>
      <c r="I661" s="181"/>
      <c r="J661" s="181"/>
      <c r="K661" s="181"/>
    </row>
    <row r="662" spans="1:11">
      <c r="A662" s="175"/>
      <c r="B662" s="175"/>
      <c r="C662" s="175"/>
      <c r="D662" s="3"/>
      <c r="E662" s="1265" t="s">
        <v>1160</v>
      </c>
      <c r="F662" s="1265"/>
      <c r="H662" s="181"/>
      <c r="I662" s="181"/>
      <c r="J662" s="181"/>
      <c r="K662" s="181"/>
    </row>
    <row r="663" spans="1:11">
      <c r="A663" s="175"/>
      <c r="B663" s="175"/>
      <c r="C663" s="175"/>
      <c r="D663" s="3"/>
      <c r="E663" s="1265"/>
      <c r="F663" s="1265"/>
      <c r="H663" s="181"/>
      <c r="I663" s="181"/>
      <c r="J663" s="181"/>
      <c r="K663" s="181"/>
    </row>
    <row r="664" spans="1:11">
      <c r="A664" s="175"/>
      <c r="B664" s="175"/>
      <c r="C664" s="175"/>
      <c r="D664" s="182"/>
      <c r="E664" s="35"/>
      <c r="H664" s="181"/>
      <c r="I664" s="181"/>
      <c r="J664" s="181"/>
      <c r="K664" s="181"/>
    </row>
    <row r="665" spans="1:11" ht="14.4">
      <c r="A665" s="176"/>
      <c r="B665" s="469" t="s">
        <v>309</v>
      </c>
      <c r="C665" s="175"/>
      <c r="D665" s="1261" t="s">
        <v>1161</v>
      </c>
      <c r="E665" s="1261"/>
      <c r="F665" s="1261"/>
      <c r="H665" s="181"/>
      <c r="I665" s="181"/>
      <c r="J665" s="181"/>
      <c r="K665" s="181"/>
    </row>
    <row r="666" spans="1:11">
      <c r="A666" s="13"/>
      <c r="B666" s="13"/>
      <c r="C666" s="175"/>
      <c r="D666" s="1261"/>
      <c r="E666" s="1261"/>
      <c r="F666" s="1261"/>
      <c r="H666" s="181"/>
      <c r="I666" s="181"/>
      <c r="J666" s="181"/>
      <c r="K666" s="181"/>
    </row>
    <row r="667" spans="1:11">
      <c r="A667" s="175"/>
      <c r="B667" s="175"/>
      <c r="C667" s="175"/>
      <c r="D667" s="1261"/>
      <c r="E667" s="1261"/>
      <c r="F667" s="1261"/>
      <c r="H667" s="181"/>
      <c r="I667" s="181"/>
      <c r="J667" s="181"/>
      <c r="K667" s="181"/>
    </row>
    <row r="668" spans="1:11">
      <c r="A668" s="175"/>
      <c r="B668" s="175"/>
      <c r="C668" s="175"/>
      <c r="H668" s="181"/>
      <c r="I668" s="181"/>
      <c r="J668" s="181"/>
      <c r="K668" s="181"/>
    </row>
    <row r="669" spans="1:11" ht="14.4">
      <c r="A669" s="176"/>
      <c r="B669" s="469" t="s">
        <v>309</v>
      </c>
      <c r="C669" s="175"/>
      <c r="D669" s="1281" t="s">
        <v>954</v>
      </c>
      <c r="E669" s="1281"/>
      <c r="F669" s="1281"/>
      <c r="H669" s="181"/>
      <c r="I669" s="181"/>
      <c r="J669" s="181"/>
      <c r="K669" s="181"/>
    </row>
    <row r="670" spans="1:11" ht="14.4">
      <c r="A670" s="176"/>
      <c r="B670" s="176"/>
      <c r="C670" s="175"/>
      <c r="D670" s="1281" t="s">
        <v>926</v>
      </c>
      <c r="E670" s="1281"/>
      <c r="F670" s="1281"/>
      <c r="H670" s="181"/>
      <c r="I670" s="181"/>
      <c r="J670" s="181"/>
      <c r="K670" s="181"/>
    </row>
    <row r="671" spans="1:11">
      <c r="A671" s="175"/>
      <c r="B671" s="175"/>
      <c r="C671" s="175"/>
      <c r="D671" s="3"/>
      <c r="E671" s="1286" t="s">
        <v>1162</v>
      </c>
      <c r="F671" s="1286"/>
      <c r="H671" s="181"/>
      <c r="I671" s="181"/>
      <c r="J671" s="181"/>
      <c r="K671" s="181"/>
    </row>
    <row r="672" spans="1:11">
      <c r="A672" s="175"/>
      <c r="B672" s="175"/>
      <c r="C672" s="175"/>
      <c r="D672" s="2"/>
      <c r="H672" s="181"/>
      <c r="I672" s="181"/>
      <c r="J672" s="181"/>
      <c r="K672" s="181"/>
    </row>
    <row r="673" spans="1:11" ht="14.4">
      <c r="A673" s="176"/>
      <c r="B673" s="469" t="s">
        <v>309</v>
      </c>
      <c r="C673" s="175"/>
      <c r="D673" s="1261" t="s">
        <v>1172</v>
      </c>
      <c r="E673" s="1261"/>
      <c r="F673" s="1261"/>
      <c r="H673" s="181"/>
      <c r="I673" s="181"/>
      <c r="J673" s="181"/>
      <c r="K673" s="181"/>
    </row>
    <row r="674" spans="1:11">
      <c r="A674" s="175"/>
      <c r="B674" s="175"/>
      <c r="C674" s="175"/>
      <c r="D674" s="1261"/>
      <c r="E674" s="1261"/>
      <c r="F674" s="1261"/>
      <c r="H674" s="181"/>
      <c r="I674" s="181"/>
      <c r="J674" s="181"/>
      <c r="K674" s="181"/>
    </row>
    <row r="675" spans="1:11">
      <c r="A675" s="175"/>
      <c r="B675" s="175"/>
      <c r="C675" s="175"/>
      <c r="D675" s="1261"/>
      <c r="E675" s="1261"/>
      <c r="F675" s="1261"/>
      <c r="H675" s="181"/>
      <c r="I675" s="181"/>
      <c r="J675" s="181"/>
      <c r="K675" s="181"/>
    </row>
    <row r="676" spans="1:11">
      <c r="A676" s="175"/>
      <c r="B676" s="175"/>
      <c r="C676" s="175"/>
      <c r="D676" s="1261"/>
      <c r="E676" s="1261"/>
      <c r="F676" s="1261"/>
      <c r="H676" s="181"/>
      <c r="I676" s="181"/>
      <c r="J676" s="181"/>
      <c r="K676" s="181"/>
    </row>
    <row r="677" spans="1:11">
      <c r="A677" s="175"/>
      <c r="B677" s="175"/>
      <c r="C677" s="175"/>
      <c r="D677" s="1261"/>
      <c r="E677" s="1261"/>
      <c r="F677" s="1261"/>
      <c r="H677" s="181"/>
      <c r="I677" s="181"/>
      <c r="J677" s="181"/>
      <c r="K677" s="181"/>
    </row>
    <row r="678" spans="1:11">
      <c r="A678" s="175"/>
      <c r="B678" s="175"/>
      <c r="C678" s="175"/>
      <c r="D678" s="1261"/>
      <c r="E678" s="1261"/>
      <c r="F678" s="1261"/>
      <c r="H678" s="181"/>
      <c r="I678" s="181"/>
      <c r="J678" s="181"/>
      <c r="K678" s="181"/>
    </row>
    <row r="679" spans="1:11">
      <c r="A679" s="175"/>
      <c r="B679" s="175"/>
      <c r="C679" s="175"/>
      <c r="D679" s="475"/>
      <c r="E679" s="475"/>
      <c r="F679" s="475"/>
      <c r="H679" s="181"/>
      <c r="I679" s="181"/>
      <c r="J679" s="181"/>
      <c r="K679" s="181"/>
    </row>
    <row r="680" spans="1:11" ht="14.4">
      <c r="A680" s="176"/>
      <c r="B680" s="469" t="s">
        <v>309</v>
      </c>
      <c r="C680" s="175"/>
      <c r="D680" s="1261" t="s">
        <v>1163</v>
      </c>
      <c r="E680" s="1261"/>
      <c r="F680" s="1261"/>
      <c r="H680" s="181"/>
      <c r="I680" s="181"/>
      <c r="J680" s="181"/>
      <c r="K680" s="181"/>
    </row>
    <row r="681" spans="1:11">
      <c r="A681" s="175"/>
      <c r="B681" s="175"/>
      <c r="C681" s="175"/>
      <c r="D681" s="1261"/>
      <c r="E681" s="1261"/>
      <c r="F681" s="1261"/>
      <c r="H681" s="181"/>
      <c r="I681" s="181"/>
      <c r="J681" s="181"/>
      <c r="K681" s="181"/>
    </row>
    <row r="682" spans="1:11">
      <c r="A682" s="175"/>
      <c r="B682" s="175"/>
      <c r="C682" s="175"/>
      <c r="D682" s="1261"/>
      <c r="E682" s="1261"/>
      <c r="F682" s="1261"/>
      <c r="H682" s="181"/>
      <c r="I682" s="181"/>
      <c r="J682" s="181"/>
      <c r="K682" s="181"/>
    </row>
    <row r="683" spans="1:11" ht="15" customHeight="1">
      <c r="A683" s="175"/>
      <c r="B683" s="175"/>
      <c r="C683" s="175"/>
      <c r="D683" s="1261"/>
      <c r="E683" s="1261"/>
      <c r="F683" s="1261"/>
      <c r="H683" s="181"/>
      <c r="I683" s="181"/>
      <c r="J683" s="181"/>
      <c r="K683" s="181"/>
    </row>
    <row r="684" spans="1:11" ht="15" customHeight="1">
      <c r="A684" s="175"/>
      <c r="B684" s="175"/>
      <c r="C684" s="175"/>
      <c r="D684" s="1261"/>
      <c r="E684" s="1261"/>
      <c r="F684" s="1261"/>
      <c r="H684" s="181"/>
      <c r="I684" s="181"/>
      <c r="J684" s="181"/>
      <c r="K684" s="181"/>
    </row>
    <row r="685" spans="1:11">
      <c r="A685" s="175"/>
      <c r="B685" s="175"/>
      <c r="C685" s="175"/>
      <c r="D685" s="1261"/>
      <c r="E685" s="1261"/>
      <c r="F685" s="1261"/>
      <c r="H685" s="181"/>
      <c r="I685" s="181"/>
      <c r="J685" s="181"/>
      <c r="K685" s="181"/>
    </row>
    <row r="686" spans="1:11">
      <c r="A686" s="175"/>
      <c r="B686" s="175"/>
      <c r="C686" s="175"/>
      <c r="D686" s="1261"/>
      <c r="E686" s="1261"/>
      <c r="F686" s="1261"/>
      <c r="H686" s="181"/>
      <c r="I686" s="181"/>
      <c r="J686" s="181"/>
      <c r="K686" s="181"/>
    </row>
    <row r="687" spans="1:11">
      <c r="A687" s="175"/>
      <c r="B687" s="175"/>
      <c r="C687" s="175"/>
      <c r="D687" s="1261"/>
      <c r="E687" s="1261"/>
      <c r="F687" s="1261"/>
      <c r="H687" s="181"/>
      <c r="I687" s="181"/>
      <c r="J687" s="181"/>
      <c r="K687" s="181"/>
    </row>
    <row r="688" spans="1:11" ht="15" customHeight="1">
      <c r="A688" s="175"/>
      <c r="B688" s="175"/>
      <c r="C688" s="175"/>
      <c r="D688" s="1261"/>
      <c r="E688" s="1261"/>
      <c r="F688" s="1261"/>
      <c r="H688" s="181"/>
      <c r="I688" s="181"/>
      <c r="J688" s="181"/>
      <c r="K688" s="181"/>
    </row>
    <row r="689" spans="1:11">
      <c r="A689" s="175"/>
      <c r="B689" s="175"/>
      <c r="C689" s="175"/>
      <c r="D689" s="1261"/>
      <c r="E689" s="1261"/>
      <c r="F689" s="1261"/>
      <c r="H689" s="181"/>
      <c r="I689" s="181"/>
      <c r="J689" s="181"/>
      <c r="K689" s="181"/>
    </row>
    <row r="690" spans="1:11">
      <c r="A690" s="175"/>
      <c r="B690" s="175"/>
      <c r="C690" s="175"/>
      <c r="D690" s="1261"/>
      <c r="E690" s="1261"/>
      <c r="F690" s="1261"/>
      <c r="H690" s="181"/>
      <c r="I690" s="181"/>
      <c r="J690" s="181"/>
      <c r="K690" s="181"/>
    </row>
    <row r="691" spans="1:11">
      <c r="A691" s="175"/>
      <c r="B691" s="175"/>
      <c r="C691" s="175"/>
      <c r="D691" s="1261"/>
      <c r="E691" s="1261"/>
      <c r="F691" s="1261"/>
      <c r="H691" s="181"/>
      <c r="I691" s="181"/>
      <c r="J691" s="181"/>
      <c r="K691" s="181"/>
    </row>
    <row r="692" spans="1:11">
      <c r="A692" s="175"/>
      <c r="B692" s="175"/>
      <c r="C692" s="175"/>
      <c r="D692" s="475"/>
      <c r="E692" s="475"/>
      <c r="F692" s="475"/>
      <c r="H692" s="181"/>
      <c r="I692" s="181"/>
      <c r="J692" s="181"/>
      <c r="K692" s="181"/>
    </row>
    <row r="693" spans="1:11" ht="14.4">
      <c r="A693" s="176"/>
      <c r="B693" s="469" t="s">
        <v>309</v>
      </c>
      <c r="C693" s="175"/>
      <c r="D693" s="1261" t="s">
        <v>1173</v>
      </c>
      <c r="E693" s="1261"/>
      <c r="F693" s="1261"/>
      <c r="H693" s="181"/>
      <c r="I693" s="181"/>
      <c r="J693" s="181"/>
      <c r="K693" s="181"/>
    </row>
    <row r="694" spans="1:11">
      <c r="A694" s="175"/>
      <c r="B694" s="175"/>
      <c r="C694" s="175"/>
      <c r="D694" s="1261"/>
      <c r="E694" s="1261"/>
      <c r="F694" s="1261"/>
      <c r="H694" s="181"/>
      <c r="I694" s="181"/>
      <c r="J694" s="181"/>
      <c r="K694" s="181"/>
    </row>
    <row r="695" spans="1:11">
      <c r="A695" s="175"/>
      <c r="B695" s="175"/>
      <c r="C695" s="175"/>
      <c r="D695" s="1261"/>
      <c r="E695" s="1261"/>
      <c r="F695" s="1261"/>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1" t="s">
        <v>1170</v>
      </c>
      <c r="E697" s="1261"/>
      <c r="F697" s="1261"/>
      <c r="H697" s="181"/>
      <c r="I697" s="181"/>
      <c r="J697" s="181"/>
      <c r="K697" s="181"/>
    </row>
    <row r="698" spans="1:11">
      <c r="A698" s="175"/>
      <c r="B698" s="175"/>
      <c r="C698" s="175"/>
      <c r="D698" s="1261"/>
      <c r="E698" s="1261"/>
      <c r="F698" s="1261"/>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1" t="s">
        <v>1171</v>
      </c>
      <c r="E700" s="1261"/>
      <c r="F700" s="1261"/>
      <c r="H700" s="181"/>
      <c r="I700" s="181"/>
      <c r="J700" s="181"/>
      <c r="K700" s="181"/>
    </row>
    <row r="701" spans="1:11">
      <c r="A701" s="175"/>
      <c r="B701" s="175"/>
      <c r="C701" s="175"/>
      <c r="D701" s="1261"/>
      <c r="E701" s="1261"/>
      <c r="F701" s="1261"/>
      <c r="H701" s="181"/>
      <c r="I701" s="181"/>
      <c r="J701" s="181"/>
      <c r="K701" s="181"/>
    </row>
    <row r="702" spans="1:11">
      <c r="A702" s="175"/>
      <c r="B702" s="175"/>
      <c r="C702" s="175"/>
      <c r="D702" s="1261"/>
      <c r="E702" s="1261"/>
      <c r="F702" s="1261"/>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1" t="s">
        <v>1164</v>
      </c>
      <c r="E704" s="1261"/>
      <c r="F704" s="1261"/>
      <c r="H704" s="181"/>
      <c r="I704" s="181"/>
      <c r="J704" s="181"/>
      <c r="K704" s="181"/>
    </row>
    <row r="705" spans="1:11">
      <c r="A705" s="175"/>
      <c r="B705" s="175"/>
      <c r="C705" s="175"/>
      <c r="D705" s="1261"/>
      <c r="E705" s="1261"/>
      <c r="F705" s="1261"/>
      <c r="H705" s="181"/>
      <c r="I705" s="181"/>
      <c r="J705" s="181"/>
      <c r="K705" s="181"/>
    </row>
    <row r="706" spans="1:11">
      <c r="A706" s="175"/>
      <c r="B706" s="175"/>
      <c r="C706" s="175"/>
      <c r="D706" s="1261"/>
      <c r="E706" s="1261"/>
      <c r="F706" s="1261"/>
      <c r="H706" s="181"/>
      <c r="I706" s="181"/>
      <c r="J706" s="181"/>
      <c r="K706" s="181"/>
    </row>
    <row r="707" spans="1:11">
      <c r="A707" s="175"/>
      <c r="B707" s="175"/>
      <c r="C707" s="175"/>
      <c r="H707" s="181"/>
      <c r="I707" s="181"/>
      <c r="J707" s="181"/>
      <c r="K707" s="181"/>
    </row>
    <row r="708" spans="1:11">
      <c r="A708" s="175"/>
      <c r="B708" s="469" t="s">
        <v>309</v>
      </c>
      <c r="C708" s="175"/>
      <c r="D708" s="1261" t="s">
        <v>1165</v>
      </c>
      <c r="E708" s="1261"/>
      <c r="F708" s="1261"/>
      <c r="H708" s="181"/>
      <c r="I708" s="181"/>
      <c r="J708" s="181"/>
      <c r="K708" s="181"/>
    </row>
    <row r="709" spans="1:11">
      <c r="A709" s="175"/>
      <c r="B709" s="175"/>
      <c r="C709" s="175"/>
      <c r="D709" s="1261"/>
      <c r="E709" s="1261"/>
      <c r="F709" s="1261"/>
      <c r="H709" s="181"/>
      <c r="I709" s="181"/>
      <c r="J709" s="181"/>
      <c r="K709" s="181"/>
    </row>
    <row r="710" spans="1:11">
      <c r="A710" s="175"/>
      <c r="B710" s="175"/>
      <c r="C710" s="175"/>
      <c r="D710" s="1261"/>
      <c r="E710" s="1261"/>
      <c r="F710" s="1261"/>
      <c r="H710" s="181"/>
      <c r="I710" s="181"/>
      <c r="J710" s="181"/>
      <c r="K710" s="181"/>
    </row>
    <row r="711" spans="1:11">
      <c r="A711" s="175"/>
      <c r="B711" s="175"/>
      <c r="C711" s="175"/>
      <c r="D711"/>
      <c r="H711" s="181"/>
      <c r="I711" s="181"/>
      <c r="J711" s="181"/>
      <c r="K711" s="181"/>
    </row>
    <row r="712" spans="1:11" ht="14.4">
      <c r="A712" s="176"/>
      <c r="B712" s="469" t="s">
        <v>309</v>
      </c>
      <c r="C712" s="175"/>
      <c r="D712" s="1261" t="s">
        <v>1166</v>
      </c>
      <c r="E712" s="1261"/>
      <c r="F712" s="1261"/>
      <c r="H712" s="181"/>
      <c r="I712" s="181"/>
      <c r="J712" s="181"/>
      <c r="K712" s="181"/>
    </row>
    <row r="713" spans="1:11">
      <c r="A713" s="175"/>
      <c r="B713" s="175"/>
      <c r="C713" s="175"/>
      <c r="D713" s="1261"/>
      <c r="E713" s="1261"/>
      <c r="F713" s="1261"/>
      <c r="H713" s="181"/>
      <c r="I713" s="181"/>
      <c r="J713" s="181"/>
      <c r="K713" s="181"/>
    </row>
    <row r="714" spans="1:11">
      <c r="A714" s="175"/>
      <c r="B714" s="175"/>
      <c r="C714" s="175"/>
      <c r="D714" s="1261"/>
      <c r="E714" s="1261"/>
      <c r="F714" s="1261"/>
      <c r="H714" s="181"/>
      <c r="I714" s="181"/>
      <c r="J714" s="181"/>
      <c r="K714" s="181"/>
    </row>
    <row r="715" spans="1:11">
      <c r="A715" s="175"/>
      <c r="B715" s="175"/>
      <c r="C715" s="175"/>
      <c r="D715" s="1261"/>
      <c r="E715" s="1261"/>
      <c r="F715" s="1261"/>
      <c r="H715" s="181"/>
      <c r="I715" s="181"/>
      <c r="J715" s="181"/>
      <c r="K715" s="181"/>
    </row>
    <row r="716" spans="1:11">
      <c r="A716" s="175"/>
      <c r="B716" s="175"/>
      <c r="C716" s="175"/>
      <c r="D716" s="178"/>
      <c r="H716" s="181"/>
      <c r="I716" s="181"/>
      <c r="J716" s="181"/>
      <c r="K716" s="181"/>
    </row>
    <row r="717" spans="1:11" ht="14.4">
      <c r="A717" s="176"/>
      <c r="B717" s="469" t="s">
        <v>309</v>
      </c>
      <c r="C717" s="175"/>
      <c r="D717" s="1261" t="s">
        <v>1299</v>
      </c>
      <c r="E717" s="1261"/>
      <c r="F717" s="1261"/>
      <c r="H717" s="181"/>
      <c r="I717" s="181"/>
      <c r="J717" s="181"/>
      <c r="K717" s="181"/>
    </row>
    <row r="718" spans="1:11">
      <c r="A718" s="175"/>
      <c r="B718" s="175"/>
      <c r="C718" s="175"/>
      <c r="D718" s="1261"/>
      <c r="E718" s="1261"/>
      <c r="F718" s="1261"/>
      <c r="H718" s="181"/>
      <c r="I718" s="181"/>
      <c r="J718" s="181"/>
      <c r="K718" s="181"/>
    </row>
    <row r="719" spans="1:11">
      <c r="A719" s="175"/>
      <c r="B719" s="175"/>
      <c r="C719" s="175"/>
      <c r="D719" s="1261"/>
      <c r="E719" s="1261"/>
      <c r="F719" s="1261"/>
      <c r="H719" s="181"/>
      <c r="I719" s="181"/>
      <c r="J719" s="181"/>
      <c r="K719" s="181"/>
    </row>
    <row r="720" spans="1:11">
      <c r="A720" s="175"/>
      <c r="B720" s="175"/>
      <c r="C720" s="175"/>
      <c r="D720" s="1261"/>
      <c r="E720" s="1261"/>
      <c r="F720" s="1261"/>
      <c r="H720" s="181"/>
      <c r="I720" s="181"/>
      <c r="J720" s="181"/>
      <c r="K720" s="181"/>
    </row>
    <row r="721" spans="1:11">
      <c r="A721" s="175"/>
      <c r="B721" s="175"/>
      <c r="C721" s="175"/>
      <c r="D721" s="1261"/>
      <c r="E721" s="1261"/>
      <c r="F721" s="1261"/>
      <c r="H721" s="181"/>
      <c r="I721" s="181"/>
      <c r="J721" s="181"/>
      <c r="K721" s="181"/>
    </row>
    <row r="722" spans="1:11">
      <c r="A722" s="175"/>
      <c r="B722" s="175"/>
      <c r="C722" s="175"/>
      <c r="D722" s="1261"/>
      <c r="E722" s="1261"/>
      <c r="F722" s="1261"/>
      <c r="H722" s="181"/>
      <c r="I722" s="181"/>
      <c r="J722" s="181"/>
      <c r="K722" s="181"/>
    </row>
    <row r="723" spans="1:11">
      <c r="A723" s="175"/>
      <c r="B723" s="175"/>
      <c r="C723" s="175"/>
      <c r="D723" s="1261"/>
      <c r="E723" s="1261"/>
      <c r="F723" s="1261"/>
      <c r="H723" s="181"/>
      <c r="I723" s="181"/>
      <c r="J723" s="181"/>
      <c r="K723" s="181"/>
    </row>
    <row r="724" spans="1:11">
      <c r="A724" s="175"/>
      <c r="B724" s="175"/>
      <c r="C724" s="175"/>
      <c r="D724" s="1288" t="s">
        <v>1167</v>
      </c>
      <c r="E724" s="1288"/>
      <c r="F724" s="1288"/>
      <c r="H724" s="181"/>
      <c r="I724" s="181"/>
      <c r="J724" s="181"/>
      <c r="K724" s="181"/>
    </row>
    <row r="725" spans="1:11">
      <c r="A725" s="175"/>
      <c r="B725" s="175"/>
      <c r="C725" s="175"/>
      <c r="D725" s="370"/>
      <c r="H725" s="181"/>
      <c r="I725" s="181"/>
      <c r="J725" s="181"/>
      <c r="K725" s="181"/>
    </row>
    <row r="726" spans="1:11">
      <c r="A726" s="1283" t="s">
        <v>1124</v>
      </c>
      <c r="B726" s="1283"/>
      <c r="C726" s="1283"/>
      <c r="D726" s="1283"/>
      <c r="E726" s="1283"/>
      <c r="F726" s="1283"/>
      <c r="G726" s="1283"/>
      <c r="H726" s="181"/>
      <c r="I726" s="181"/>
      <c r="J726" s="181"/>
      <c r="K726" s="181"/>
    </row>
    <row r="727" spans="1:11">
      <c r="A727" s="175"/>
      <c r="B727" s="175"/>
      <c r="C727" s="175"/>
      <c r="D727" s="178"/>
      <c r="G727" s="183"/>
      <c r="H727" s="181"/>
      <c r="I727" s="181"/>
      <c r="J727" s="181"/>
      <c r="K727" s="181"/>
    </row>
    <row r="728" spans="1:11" ht="13.2" customHeight="1">
      <c r="C728" s="175"/>
      <c r="D728" s="1293" t="s">
        <v>1140</v>
      </c>
      <c r="E728" s="1293"/>
      <c r="F728" s="1293"/>
      <c r="G728" s="183"/>
      <c r="H728" s="181"/>
      <c r="I728" s="181"/>
      <c r="J728" s="181"/>
      <c r="K728" s="181"/>
    </row>
    <row r="729" spans="1:11">
      <c r="A729" s="175"/>
      <c r="B729" s="175"/>
      <c r="C729" s="175"/>
      <c r="D729" s="1285" t="s">
        <v>1141</v>
      </c>
      <c r="E729" s="1285"/>
      <c r="F729" s="1285"/>
      <c r="G729" s="183"/>
      <c r="H729" s="181"/>
      <c r="I729" s="181"/>
      <c r="J729" s="181"/>
      <c r="K729" s="181"/>
    </row>
    <row r="730" spans="1:11">
      <c r="A730" s="175"/>
      <c r="B730" s="175"/>
      <c r="C730" s="175"/>
      <c r="G730" s="183"/>
      <c r="H730" s="181"/>
      <c r="I730" s="181"/>
      <c r="J730" s="181"/>
      <c r="K730" s="181"/>
    </row>
    <row r="731" spans="1:11" ht="14.4">
      <c r="A731" s="176"/>
      <c r="B731" s="469" t="s">
        <v>309</v>
      </c>
      <c r="D731" s="1261" t="s">
        <v>1142</v>
      </c>
      <c r="E731" s="1261"/>
      <c r="F731" s="1261"/>
      <c r="G731" s="183"/>
      <c r="H731" s="181"/>
      <c r="I731" s="181"/>
      <c r="J731" s="181"/>
      <c r="K731" s="181"/>
    </row>
    <row r="732" spans="1:11" ht="10.5" customHeight="1">
      <c r="D732" s="1261"/>
      <c r="E732" s="1261"/>
      <c r="F732" s="1261"/>
      <c r="G732" s="183"/>
      <c r="H732" s="181"/>
      <c r="I732" s="181"/>
      <c r="J732" s="181"/>
      <c r="K732" s="181"/>
    </row>
    <row r="733" spans="1:11">
      <c r="D733" s="1261"/>
      <c r="E733" s="1261"/>
      <c r="F733" s="1261"/>
      <c r="G733" s="183"/>
      <c r="H733" s="181"/>
      <c r="I733" s="181"/>
      <c r="J733" s="181"/>
      <c r="K733" s="181"/>
    </row>
    <row r="734" spans="1:11">
      <c r="D734" s="1261"/>
      <c r="E734" s="1261"/>
      <c r="F734" s="1261"/>
      <c r="G734" s="183"/>
      <c r="H734" s="181"/>
      <c r="I734" s="181"/>
      <c r="J734" s="181"/>
      <c r="K734" s="181"/>
    </row>
    <row r="735" spans="1:11">
      <c r="D735" s="1261"/>
      <c r="E735" s="1261"/>
      <c r="F735" s="1261"/>
      <c r="G735" s="183"/>
      <c r="H735" s="181"/>
      <c r="I735" s="181"/>
      <c r="J735" s="181"/>
      <c r="K735" s="181"/>
    </row>
    <row r="736" spans="1:11" ht="15.6" customHeight="1">
      <c r="D736" s="1261"/>
      <c r="E736" s="1261"/>
      <c r="F736" s="1261"/>
      <c r="G736" s="183"/>
      <c r="H736" s="181"/>
      <c r="I736" s="181"/>
      <c r="J736" s="181"/>
      <c r="K736" s="181"/>
    </row>
    <row r="737" spans="1:11">
      <c r="D737" s="255"/>
      <c r="E737" s="35"/>
      <c r="F737" s="35"/>
      <c r="G737" s="183"/>
      <c r="H737" s="181"/>
      <c r="I737" s="181"/>
      <c r="J737" s="181"/>
      <c r="K737" s="181"/>
    </row>
    <row r="738" spans="1:11" s="274" customFormat="1" ht="14.4">
      <c r="A738" s="272"/>
      <c r="B738" s="469" t="s">
        <v>309</v>
      </c>
      <c r="C738" s="273"/>
      <c r="D738" s="1261" t="s">
        <v>1143</v>
      </c>
      <c r="E738" s="1261"/>
      <c r="F738" s="1261"/>
      <c r="G738" s="210"/>
    </row>
    <row r="739" spans="1:11" s="274" customFormat="1">
      <c r="A739" s="273"/>
      <c r="B739" s="273"/>
      <c r="C739" s="273"/>
      <c r="D739" s="1261"/>
      <c r="E739" s="1261"/>
      <c r="F739" s="1261"/>
      <c r="G739" s="210"/>
    </row>
    <row r="740" spans="1:11" s="274" customFormat="1">
      <c r="A740" s="273"/>
      <c r="B740" s="273"/>
      <c r="C740" s="273"/>
      <c r="D740" s="1261"/>
      <c r="E740" s="1261"/>
      <c r="F740" s="1261"/>
      <c r="G740" s="210"/>
    </row>
    <row r="741" spans="1:11" s="274" customFormat="1">
      <c r="A741" s="273"/>
      <c r="B741" s="273"/>
      <c r="C741" s="273"/>
      <c r="D741" s="1261"/>
      <c r="E741" s="1261"/>
      <c r="F741" s="1261"/>
      <c r="G741" s="210"/>
    </row>
    <row r="742" spans="1:11" s="274" customFormat="1">
      <c r="A742" s="273"/>
      <c r="B742" s="273"/>
      <c r="C742" s="273"/>
      <c r="D742" s="255"/>
      <c r="E742" s="210"/>
      <c r="F742" s="210"/>
      <c r="G742" s="210"/>
    </row>
    <row r="743" spans="1:11" s="274" customFormat="1" ht="14.4">
      <c r="A743" s="176"/>
      <c r="B743" s="469" t="s">
        <v>309</v>
      </c>
      <c r="C743" s="273"/>
      <c r="D743" s="1294" t="s">
        <v>1144</v>
      </c>
      <c r="E743" s="1294"/>
      <c r="F743" s="1294"/>
      <c r="G743" s="210"/>
    </row>
    <row r="744" spans="1:11" s="274" customFormat="1">
      <c r="A744" s="273"/>
      <c r="B744" s="273"/>
      <c r="C744" s="273"/>
      <c r="D744" s="1294"/>
      <c r="E744" s="1294"/>
      <c r="F744" s="1294"/>
      <c r="G744" s="210"/>
    </row>
    <row r="745" spans="1:11" s="274" customFormat="1">
      <c r="A745" s="273"/>
      <c r="B745" s="273"/>
      <c r="C745" s="273"/>
      <c r="D745" s="1294"/>
      <c r="E745" s="1294"/>
      <c r="F745" s="1294"/>
      <c r="G745" s="210"/>
    </row>
    <row r="746" spans="1:11">
      <c r="D746" s="255"/>
      <c r="E746" s="35"/>
      <c r="F746" s="35"/>
      <c r="G746" s="183"/>
      <c r="H746" s="181"/>
      <c r="I746" s="181"/>
      <c r="J746" s="181"/>
      <c r="K746" s="181"/>
    </row>
    <row r="747" spans="1:11" ht="14.4">
      <c r="A747" s="176"/>
      <c r="B747" s="469" t="s">
        <v>309</v>
      </c>
      <c r="D747" s="1261" t="s">
        <v>1145</v>
      </c>
      <c r="E747" s="1261"/>
      <c r="F747" s="1261"/>
      <c r="G747" s="183"/>
      <c r="H747" s="181"/>
      <c r="I747" s="181"/>
      <c r="J747" s="181"/>
      <c r="K747" s="181"/>
    </row>
    <row r="748" spans="1:11">
      <c r="D748" s="1261"/>
      <c r="E748" s="1261"/>
      <c r="F748" s="1261"/>
      <c r="G748" s="183"/>
      <c r="H748" s="181"/>
      <c r="I748" s="181"/>
      <c r="J748" s="181"/>
      <c r="K748" s="181"/>
    </row>
    <row r="749" spans="1:11">
      <c r="D749" s="475"/>
      <c r="E749" s="475"/>
      <c r="F749" s="475"/>
      <c r="G749" s="183"/>
      <c r="H749" s="181"/>
      <c r="I749" s="181"/>
      <c r="J749" s="181"/>
      <c r="K749" s="181"/>
    </row>
    <row r="750" spans="1:11">
      <c r="B750" s="469" t="s">
        <v>309</v>
      </c>
      <c r="D750" s="1261" t="s">
        <v>1146</v>
      </c>
      <c r="E750" s="1261"/>
      <c r="F750" s="1261"/>
      <c r="G750" s="183"/>
      <c r="H750" s="181"/>
      <c r="I750" s="181"/>
      <c r="J750" s="181"/>
      <c r="K750" s="181"/>
    </row>
    <row r="751" spans="1:11">
      <c r="D751" s="1261"/>
      <c r="E751" s="1261"/>
      <c r="F751" s="1261"/>
      <c r="G751" s="183"/>
      <c r="H751" s="181"/>
      <c r="I751" s="181"/>
      <c r="J751" s="181"/>
      <c r="K751" s="181"/>
    </row>
    <row r="752" spans="1:11">
      <c r="D752" s="1261"/>
      <c r="E752" s="1261"/>
      <c r="F752" s="1261"/>
      <c r="G752" s="183"/>
      <c r="H752" s="181"/>
      <c r="I752" s="181"/>
      <c r="J752" s="181"/>
      <c r="K752" s="181"/>
    </row>
    <row r="753" spans="1:11">
      <c r="D753" s="475"/>
      <c r="E753" s="475"/>
      <c r="F753" s="475"/>
      <c r="G753" s="183"/>
      <c r="H753" s="181"/>
      <c r="I753" s="181"/>
      <c r="J753" s="181"/>
      <c r="K753" s="181"/>
    </row>
    <row r="754" spans="1:11">
      <c r="A754" s="1282" t="s">
        <v>1147</v>
      </c>
      <c r="B754" s="1282"/>
      <c r="C754" s="1282"/>
      <c r="D754" s="1282"/>
      <c r="E754" s="1282"/>
      <c r="F754" s="1282"/>
      <c r="G754" s="1282"/>
    </row>
    <row r="755" spans="1:11">
      <c r="A755" s="175"/>
      <c r="B755" s="175"/>
      <c r="C755" s="175"/>
      <c r="D755" s="184"/>
      <c r="F755" s="35"/>
      <c r="G755" s="183"/>
    </row>
    <row r="756" spans="1:11">
      <c r="D756" s="1290" t="s">
        <v>1131</v>
      </c>
      <c r="E756" s="1290"/>
      <c r="F756" s="1290"/>
      <c r="G756" s="183"/>
    </row>
    <row r="757" spans="1:11">
      <c r="A757" s="346"/>
      <c r="B757" s="346"/>
      <c r="C757" s="346"/>
      <c r="D757" s="1291" t="s">
        <v>1148</v>
      </c>
      <c r="E757" s="1291"/>
      <c r="F757" s="1291"/>
      <c r="G757" s="183"/>
    </row>
    <row r="758" spans="1:11">
      <c r="D758" s="434"/>
      <c r="E758" s="434"/>
      <c r="F758" s="434"/>
      <c r="G758" s="183"/>
    </row>
    <row r="759" spans="1:11" ht="14.4">
      <c r="A759" s="176"/>
      <c r="B759" s="469" t="s">
        <v>309</v>
      </c>
      <c r="D759" s="1291" t="s">
        <v>1025</v>
      </c>
      <c r="E759" s="1291"/>
      <c r="F759" s="1291"/>
      <c r="G759" s="183"/>
    </row>
    <row r="760" spans="1:11">
      <c r="D760" s="434"/>
      <c r="E760" s="1292" t="s">
        <v>1132</v>
      </c>
      <c r="F760" s="1292"/>
      <c r="G760" s="183"/>
    </row>
    <row r="761" spans="1:11">
      <c r="A761" s="172"/>
      <c r="B761" s="172"/>
      <c r="C761" s="172"/>
      <c r="D761" s="35"/>
      <c r="G761" s="183"/>
    </row>
    <row r="762" spans="1:11">
      <c r="A762" s="1289" t="s">
        <v>451</v>
      </c>
      <c r="B762" s="1289"/>
      <c r="C762" s="1289"/>
      <c r="D762" s="1289"/>
      <c r="E762" s="1289"/>
      <c r="F762" s="1289"/>
      <c r="G762" s="1289"/>
    </row>
    <row r="763" spans="1:11">
      <c r="A763" s="172"/>
      <c r="B763" s="172"/>
      <c r="C763" s="179"/>
      <c r="D763" s="183"/>
      <c r="E763" s="183"/>
      <c r="F763" s="183"/>
      <c r="G763" s="183"/>
    </row>
    <row r="764" spans="1:11">
      <c r="A764" s="35"/>
      <c r="B764" s="1285" t="s">
        <v>1024</v>
      </c>
      <c r="C764" s="1285"/>
      <c r="D764" s="1285"/>
      <c r="E764" s="1285"/>
      <c r="F764" s="1285"/>
      <c r="G764" s="183"/>
    </row>
    <row r="765" spans="1:11">
      <c r="A765" s="13"/>
      <c r="B765" s="13"/>
      <c r="G765" s="183"/>
    </row>
    <row r="766" spans="1:11">
      <c r="A766" s="1289" t="s">
        <v>452</v>
      </c>
      <c r="B766" s="1289"/>
      <c r="C766" s="1289"/>
      <c r="D766" s="1289"/>
      <c r="E766" s="1289"/>
      <c r="F766" s="1289"/>
      <c r="G766" s="1289"/>
    </row>
    <row r="767" spans="1:11">
      <c r="A767" s="172"/>
      <c r="B767" s="172"/>
      <c r="C767" s="172"/>
      <c r="D767" s="178"/>
      <c r="G767" s="183"/>
    </row>
    <row r="768" spans="1:11">
      <c r="A768" s="35"/>
      <c r="B768" s="1281" t="s">
        <v>450</v>
      </c>
      <c r="C768" s="1281"/>
      <c r="D768" s="1281"/>
      <c r="E768" s="1281"/>
      <c r="F768" s="1281"/>
      <c r="G768" s="183"/>
    </row>
    <row r="769" spans="1:7" ht="14.4">
      <c r="A769" s="176"/>
      <c r="B769" s="176"/>
      <c r="D769" s="35"/>
      <c r="E769" s="35"/>
      <c r="F769" s="183"/>
      <c r="G769" s="183"/>
    </row>
    <row r="770" spans="1:7">
      <c r="A770" s="1289" t="s">
        <v>453</v>
      </c>
      <c r="B770" s="1289"/>
      <c r="C770" s="1289"/>
      <c r="D770" s="1289"/>
      <c r="E770" s="1289"/>
      <c r="F770" s="1289"/>
      <c r="G770" s="1289"/>
    </row>
    <row r="771" spans="1:7">
      <c r="C771" s="175"/>
      <c r="D771" s="173"/>
      <c r="E771" s="35"/>
      <c r="F771" s="183"/>
      <c r="G771" s="183"/>
    </row>
    <row r="772" spans="1:7">
      <c r="A772" s="35"/>
      <c r="B772" s="1281" t="s">
        <v>450</v>
      </c>
      <c r="C772" s="1281"/>
      <c r="D772" s="1281"/>
      <c r="E772" s="1281"/>
      <c r="F772" s="1281"/>
      <c r="G772" s="183"/>
    </row>
    <row r="773" spans="1:7">
      <c r="A773" s="35"/>
      <c r="B773" s="35"/>
      <c r="C773" s="179"/>
      <c r="D773" s="183"/>
      <c r="E773" s="183"/>
      <c r="F773" s="183"/>
      <c r="G773" s="183"/>
    </row>
    <row r="774" spans="1:7">
      <c r="A774" s="1289" t="s">
        <v>454</v>
      </c>
      <c r="B774" s="1289"/>
      <c r="C774" s="1289"/>
      <c r="D774" s="1289"/>
      <c r="E774" s="1289"/>
      <c r="F774" s="1289"/>
      <c r="G774" s="1289"/>
    </row>
    <row r="775" spans="1:7">
      <c r="A775" s="35"/>
      <c r="B775" s="35"/>
    </row>
    <row r="776" spans="1:7">
      <c r="A776" s="35"/>
      <c r="B776" s="1281" t="s">
        <v>450</v>
      </c>
      <c r="C776" s="1281"/>
      <c r="D776" s="1281"/>
      <c r="E776" s="1281"/>
      <c r="F776" s="1281"/>
    </row>
    <row r="777" spans="1:7">
      <c r="A777" s="179"/>
      <c r="B777" s="179"/>
      <c r="C777" s="179"/>
      <c r="D777" s="174"/>
      <c r="F777" s="183"/>
    </row>
    <row r="778" spans="1:7">
      <c r="A778" s="1289" t="s">
        <v>455</v>
      </c>
      <c r="B778" s="1289"/>
      <c r="C778" s="1289"/>
      <c r="D778" s="1289"/>
      <c r="E778" s="1289"/>
      <c r="F778" s="1289"/>
      <c r="G778" s="1289"/>
    </row>
    <row r="779" spans="1:7">
      <c r="A779" s="35"/>
      <c r="B779" s="35"/>
    </row>
    <row r="780" spans="1:7">
      <c r="A780" s="35"/>
      <c r="B780" s="1281" t="s">
        <v>450</v>
      </c>
      <c r="C780" s="1281"/>
      <c r="D780" s="1281"/>
      <c r="E780" s="1281"/>
      <c r="F780" s="1281"/>
    </row>
    <row r="781" spans="1:7">
      <c r="A781" s="179"/>
      <c r="B781" s="179"/>
      <c r="C781" s="179"/>
      <c r="D781" s="174"/>
      <c r="F781" s="183"/>
    </row>
    <row r="782" spans="1:7">
      <c r="A782" s="1289" t="s">
        <v>456</v>
      </c>
      <c r="B782" s="1289"/>
      <c r="C782" s="1289"/>
      <c r="D782" s="1289"/>
      <c r="E782" s="1289"/>
      <c r="F782" s="1289"/>
      <c r="G782" s="1289"/>
    </row>
    <row r="783" spans="1:7">
      <c r="A783" s="35"/>
      <c r="B783" s="35"/>
    </row>
    <row r="784" spans="1:7">
      <c r="A784" s="35"/>
      <c r="B784" s="1281" t="s">
        <v>450</v>
      </c>
      <c r="C784" s="1281"/>
      <c r="D784" s="1281"/>
      <c r="E784" s="1281"/>
      <c r="F784" s="1281"/>
    </row>
    <row r="785" spans="1:7">
      <c r="D785" s="174"/>
    </row>
    <row r="786" spans="1:7">
      <c r="A786" s="1289" t="s">
        <v>188</v>
      </c>
      <c r="B786" s="1289"/>
      <c r="C786" s="1289"/>
      <c r="D786" s="1289"/>
      <c r="E786" s="1289"/>
      <c r="F786" s="1289"/>
      <c r="G786" s="1289"/>
    </row>
    <row r="787" spans="1:7">
      <c r="A787" s="35"/>
      <c r="B787" s="35"/>
    </row>
    <row r="788" spans="1:7">
      <c r="A788" s="35"/>
      <c r="B788" s="1281" t="s">
        <v>450</v>
      </c>
      <c r="C788" s="1281"/>
      <c r="D788" s="1281"/>
      <c r="E788" s="1281"/>
      <c r="F788" s="1281"/>
    </row>
    <row r="789" spans="1:7">
      <c r="A789" s="35"/>
      <c r="B789" s="35"/>
      <c r="D789" s="174"/>
    </row>
    <row r="790" spans="1:7">
      <c r="A790" s="1289" t="s">
        <v>902</v>
      </c>
      <c r="B790" s="1289"/>
      <c r="C790" s="1289"/>
      <c r="D790" s="1289"/>
      <c r="E790" s="1289"/>
      <c r="F790" s="1289"/>
      <c r="G790" s="1289"/>
    </row>
    <row r="791" spans="1:7">
      <c r="A791" s="35"/>
      <c r="B791" s="35"/>
    </row>
    <row r="792" spans="1:7">
      <c r="A792" s="35"/>
      <c r="B792" s="1281" t="s">
        <v>450</v>
      </c>
      <c r="C792" s="1281"/>
      <c r="D792" s="1281"/>
      <c r="E792" s="1281"/>
      <c r="F792" s="1281"/>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5" customHeight="1" zeroHeight="1"/>
  <cols>
    <col min="1" max="10" width="10.6640625" style="434" customWidth="1"/>
    <col min="11" max="16384" width="8.88671875" style="434" hidden="1"/>
  </cols>
  <sheetData>
    <row r="1" spans="1:10" ht="14.25" customHeight="1"/>
    <row r="2" spans="1:10" ht="15.6">
      <c r="A2" s="1314" t="s">
        <v>2133</v>
      </c>
      <c r="B2" s="1315"/>
      <c r="C2" s="1315"/>
      <c r="D2" s="1315"/>
      <c r="E2" s="1315"/>
      <c r="F2" s="1315"/>
      <c r="G2" s="1315"/>
      <c r="H2" s="1315"/>
      <c r="I2" s="1315"/>
      <c r="J2" s="1315"/>
    </row>
    <row r="3" spans="1:10" ht="15">
      <c r="A3" s="1318" t="s">
        <v>1425</v>
      </c>
      <c r="B3" s="1319"/>
      <c r="C3" s="1319"/>
      <c r="D3" s="1319"/>
      <c r="E3" s="1319"/>
      <c r="F3" s="1319"/>
      <c r="G3" s="1319"/>
      <c r="H3" s="1319"/>
      <c r="I3" s="1319"/>
      <c r="J3" s="1319"/>
    </row>
    <row r="4" spans="1:10" ht="13.2"/>
    <row r="5" spans="1:10" ht="12.75" customHeight="1">
      <c r="A5" s="1316" t="s">
        <v>2441</v>
      </c>
      <c r="B5" s="1316"/>
      <c r="C5" s="1316"/>
      <c r="D5" s="1316"/>
      <c r="E5" s="1316"/>
      <c r="F5" s="1316"/>
      <c r="G5" s="1316"/>
      <c r="H5" s="1316"/>
      <c r="I5" s="1316"/>
      <c r="J5" s="1316"/>
    </row>
    <row r="6" spans="1:10" ht="13.2">
      <c r="A6" s="1316"/>
      <c r="B6" s="1316"/>
      <c r="C6" s="1316"/>
      <c r="D6" s="1316"/>
      <c r="E6" s="1316"/>
      <c r="F6" s="1316"/>
      <c r="G6" s="1316"/>
      <c r="H6" s="1316"/>
      <c r="I6" s="1316"/>
      <c r="J6" s="1316"/>
    </row>
    <row r="7" spans="1:10" ht="30" customHeight="1">
      <c r="A7" s="1316"/>
      <c r="B7" s="1316"/>
      <c r="C7" s="1316"/>
      <c r="D7" s="1316"/>
      <c r="E7" s="1316"/>
      <c r="F7" s="1316"/>
      <c r="G7" s="1316"/>
      <c r="H7" s="1316"/>
      <c r="I7" s="1316"/>
      <c r="J7" s="1316"/>
    </row>
    <row r="8" spans="1:10" ht="13.2">
      <c r="A8" s="448"/>
      <c r="B8" s="448"/>
      <c r="C8" s="448"/>
      <c r="D8" s="448"/>
      <c r="E8" s="448"/>
      <c r="F8" s="448"/>
      <c r="G8" s="448"/>
      <c r="H8" s="448"/>
      <c r="I8" s="448"/>
      <c r="J8" s="448"/>
    </row>
    <row r="9" spans="1:10" ht="12.75" customHeight="1">
      <c r="A9" s="434" t="s">
        <v>2136</v>
      </c>
      <c r="B9" s="448"/>
      <c r="C9" s="448"/>
      <c r="D9" s="448"/>
      <c r="E9" s="448"/>
      <c r="F9" s="448"/>
      <c r="G9" s="448"/>
      <c r="H9" s="448"/>
      <c r="I9" s="448"/>
      <c r="J9" s="448"/>
    </row>
    <row r="10" spans="1:10" ht="13.2"/>
    <row r="11" spans="1:10" ht="12.75" customHeight="1">
      <c r="A11" s="1320" t="s">
        <v>2138</v>
      </c>
      <c r="B11" s="1320"/>
      <c r="C11" s="1320"/>
      <c r="D11" s="1320"/>
      <c r="E11" s="1320"/>
      <c r="F11" s="1320"/>
      <c r="G11" s="1320"/>
      <c r="H11" s="1320"/>
      <c r="I11" s="1320"/>
      <c r="J11" s="1320"/>
    </row>
    <row r="12" spans="1:10" ht="13.2">
      <c r="A12" s="1320"/>
      <c r="B12" s="1320"/>
      <c r="C12" s="1320"/>
      <c r="D12" s="1320"/>
      <c r="E12" s="1320"/>
      <c r="F12" s="1320"/>
      <c r="G12" s="1320"/>
      <c r="H12" s="1320"/>
      <c r="I12" s="1320"/>
      <c r="J12" s="1320"/>
    </row>
    <row r="13" spans="1:10" ht="13.2">
      <c r="A13" s="1320"/>
      <c r="B13" s="1320"/>
      <c r="C13" s="1320"/>
      <c r="D13" s="1320"/>
      <c r="E13" s="1320"/>
      <c r="F13" s="1320"/>
      <c r="G13" s="1320"/>
      <c r="H13" s="1320"/>
      <c r="I13" s="1320"/>
      <c r="J13" s="1320"/>
    </row>
    <row r="14" spans="1:10" ht="13.2">
      <c r="A14" s="1320"/>
      <c r="B14" s="1320"/>
      <c r="C14" s="1320"/>
      <c r="D14" s="1320"/>
      <c r="E14" s="1320"/>
      <c r="F14" s="1320"/>
      <c r="G14" s="1320"/>
      <c r="H14" s="1320"/>
      <c r="I14" s="1320"/>
      <c r="J14" s="1320"/>
    </row>
    <row r="15" spans="1:10" ht="13.2">
      <c r="A15" s="1320"/>
      <c r="B15" s="1320"/>
      <c r="C15" s="1320"/>
      <c r="D15" s="1320"/>
      <c r="E15" s="1320"/>
      <c r="F15" s="1320"/>
      <c r="G15" s="1320"/>
      <c r="H15" s="1320"/>
      <c r="I15" s="1320"/>
      <c r="J15" s="1320"/>
    </row>
    <row r="16" spans="1:10" ht="13.2">
      <c r="A16" s="1320"/>
      <c r="B16" s="1320"/>
      <c r="C16" s="1320"/>
      <c r="D16" s="1320"/>
      <c r="E16" s="1320"/>
      <c r="F16" s="1320"/>
      <c r="G16" s="1320"/>
      <c r="H16" s="1320"/>
      <c r="I16" s="1320"/>
      <c r="J16" s="1320"/>
    </row>
    <row r="17" spans="1:10" ht="13.2">
      <c r="A17" s="559"/>
      <c r="B17" s="559"/>
      <c r="C17" s="559"/>
      <c r="D17" s="559"/>
      <c r="E17" s="559"/>
      <c r="F17" s="559"/>
      <c r="G17" s="559"/>
      <c r="H17" s="559"/>
      <c r="I17" s="559"/>
      <c r="J17" s="559"/>
    </row>
    <row r="18" spans="1:10" ht="13.2">
      <c r="A18" s="511" t="s">
        <v>2137</v>
      </c>
      <c r="B18" s="448"/>
      <c r="C18" s="448"/>
      <c r="D18" s="448"/>
      <c r="E18" s="448"/>
      <c r="F18" s="448"/>
      <c r="G18" s="448"/>
      <c r="H18" s="448"/>
      <c r="I18" s="448"/>
      <c r="J18" s="448"/>
    </row>
    <row r="19" spans="1:10" ht="13.2">
      <c r="A19" s="448" t="s">
        <v>252</v>
      </c>
      <c r="B19" s="448"/>
      <c r="C19" s="448"/>
      <c r="D19" s="448"/>
      <c r="E19" s="448"/>
      <c r="F19" s="448"/>
      <c r="G19" s="448"/>
      <c r="H19" s="448"/>
      <c r="I19" s="448"/>
      <c r="J19" s="448"/>
    </row>
    <row r="20" spans="1:10" ht="13.2">
      <c r="A20" s="1319" t="s">
        <v>1331</v>
      </c>
      <c r="B20" s="1319"/>
      <c r="C20" s="1319"/>
      <c r="D20" s="1319"/>
      <c r="E20" s="1319"/>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16" t="s">
        <v>1332</v>
      </c>
      <c r="B57" s="1316"/>
      <c r="C57" s="1316"/>
      <c r="D57" s="1316"/>
      <c r="E57" s="1316"/>
      <c r="F57" s="1316"/>
      <c r="G57" s="1316"/>
      <c r="H57" s="1316"/>
      <c r="I57" s="1316"/>
      <c r="J57" s="1316"/>
    </row>
    <row r="58" spans="1:10" ht="13.2">
      <c r="A58" s="1316"/>
      <c r="B58" s="1316"/>
      <c r="C58" s="1316"/>
      <c r="D58" s="1316"/>
      <c r="E58" s="1316"/>
      <c r="F58" s="1316"/>
      <c r="G58" s="1316"/>
      <c r="H58" s="1316"/>
      <c r="I58" s="1316"/>
      <c r="J58" s="1316"/>
    </row>
    <row r="59" spans="1:10" ht="13.2">
      <c r="A59" s="1316"/>
      <c r="B59" s="1316"/>
      <c r="C59" s="1316"/>
      <c r="D59" s="1316"/>
      <c r="E59" s="1316"/>
      <c r="F59" s="1316"/>
      <c r="G59" s="1316"/>
      <c r="H59" s="1316"/>
      <c r="I59" s="1316"/>
      <c r="J59" s="1316"/>
    </row>
    <row r="60" spans="1:10" ht="13.2"/>
    <row r="61" spans="1:10" ht="13.2">
      <c r="A61" s="434" t="s">
        <v>1331</v>
      </c>
    </row>
    <row r="62" spans="1:10" ht="13.2"/>
    <row r="63" spans="1:10" ht="13.2"/>
    <row r="64" spans="1:10" ht="13.2"/>
    <row r="65" spans="1:9" ht="13.2"/>
    <row r="66" spans="1:9" ht="13.2"/>
    <row r="67" spans="1:9" ht="13.2"/>
    <row r="68" spans="1:9" ht="13.2"/>
    <row r="69" spans="1:9" ht="13.2"/>
    <row r="70" spans="1:9" ht="13.2"/>
    <row r="71" spans="1:9" ht="13.2"/>
    <row r="72" spans="1:9" ht="13.2">
      <c r="A72" s="1317" t="s">
        <v>2134</v>
      </c>
      <c r="B72" s="1317"/>
      <c r="C72" s="1317"/>
      <c r="D72" s="1317"/>
      <c r="E72" s="1317"/>
      <c r="F72" s="1317"/>
      <c r="G72" s="1317"/>
      <c r="H72" s="1317"/>
      <c r="I72" s="1317"/>
    </row>
    <row r="73" spans="1:9" ht="13.2">
      <c r="A73" s="1268" t="s">
        <v>2439</v>
      </c>
      <c r="B73" s="1268"/>
      <c r="C73" s="1268"/>
      <c r="D73" s="1268"/>
      <c r="E73" s="1268"/>
    </row>
    <row r="74" spans="1:9" ht="13.2">
      <c r="A74" s="1268" t="s">
        <v>2440</v>
      </c>
      <c r="B74" s="1268"/>
      <c r="C74" s="1268"/>
      <c r="D74" s="1268"/>
      <c r="E74" s="1268"/>
    </row>
    <row r="75" spans="1:9" ht="13.2">
      <c r="A75" s="1268" t="s">
        <v>2135</v>
      </c>
      <c r="B75" s="1268"/>
      <c r="C75" s="1268"/>
      <c r="D75" s="1268"/>
      <c r="E75" s="1268"/>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abSelected="1" topLeftCell="A1030" zoomScaleNormal="100" zoomScaleSheetLayoutView="100" workbookViewId="0">
      <selection activeCell="F1045" sqref="F1045"/>
    </sheetView>
  </sheetViews>
  <sheetFormatPr defaultColWidth="0" defaultRowHeight="13.2" zeroHeight="1"/>
  <cols>
    <col min="1" max="1" width="3.5546875" style="515" customWidth="1"/>
    <col min="2" max="2" width="13.5546875" style="515" customWidth="1"/>
    <col min="3" max="3" width="2.5546875" style="515" customWidth="1"/>
    <col min="4" max="5" width="3.5546875" style="434" customWidth="1"/>
    <col min="6" max="6" width="65.5546875" style="434" customWidth="1"/>
    <col min="7" max="7" width="1.5546875" style="434" customWidth="1"/>
    <col min="8" max="8" width="3.5546875" style="434" customWidth="1"/>
    <col min="9" max="9" width="24.44140625" style="436" customWidth="1"/>
    <col min="10" max="10" width="8.88671875" style="434" customWidth="1"/>
    <col min="11" max="16384" width="8.88671875" style="434" hidden="1"/>
  </cols>
  <sheetData>
    <row r="1" spans="1:13"/>
    <row r="2" spans="1:13">
      <c r="A2" s="1321" t="s">
        <v>2607</v>
      </c>
      <c r="B2" s="1321"/>
      <c r="C2" s="1321"/>
      <c r="D2" s="1321"/>
      <c r="E2" s="1321"/>
      <c r="F2" s="1321"/>
      <c r="G2" s="1321"/>
      <c r="H2" s="1321"/>
      <c r="I2" s="1321"/>
    </row>
    <row r="3" spans="1:13">
      <c r="A3" s="1322" t="s">
        <v>2001</v>
      </c>
      <c r="B3" s="1322"/>
      <c r="C3" s="1322"/>
      <c r="D3" s="1322"/>
      <c r="E3" s="1322"/>
      <c r="F3" s="1322"/>
      <c r="G3" s="1322"/>
      <c r="H3" s="1322"/>
      <c r="I3" s="1322"/>
    </row>
    <row r="4" spans="1:13">
      <c r="A4" s="1322"/>
      <c r="B4" s="1322"/>
      <c r="C4" s="1319"/>
      <c r="D4" s="1319"/>
      <c r="E4" s="1319"/>
      <c r="F4" s="1319"/>
      <c r="G4" s="1319"/>
    </row>
    <row r="5" spans="1:13">
      <c r="A5" s="1322"/>
      <c r="B5" s="1322"/>
      <c r="C5" s="1319"/>
      <c r="D5" s="1319"/>
      <c r="E5" s="1319"/>
      <c r="F5" s="1319"/>
      <c r="G5" s="1319"/>
    </row>
    <row r="6" spans="1:13">
      <c r="A6" s="1321" t="s">
        <v>1201</v>
      </c>
      <c r="B6" s="1321"/>
      <c r="C6" s="1333"/>
      <c r="D6" s="1333"/>
      <c r="E6" s="1333"/>
      <c r="F6" s="1333"/>
      <c r="G6" s="1333"/>
      <c r="I6" s="525" t="s">
        <v>2144</v>
      </c>
    </row>
    <row r="7" spans="1:13">
      <c r="A7" s="1321" t="s">
        <v>1202</v>
      </c>
      <c r="B7" s="1321"/>
      <c r="C7" s="1333"/>
      <c r="D7" s="1333"/>
      <c r="E7" s="1333"/>
      <c r="F7" s="1333"/>
      <c r="G7" s="1333"/>
      <c r="I7" s="525" t="s">
        <v>2145</v>
      </c>
    </row>
    <row r="8" spans="1:13">
      <c r="A8" s="516"/>
      <c r="B8" s="516"/>
      <c r="C8" s="517"/>
      <c r="D8" s="517"/>
      <c r="E8" s="517"/>
      <c r="F8" s="517"/>
    </row>
    <row r="9" spans="1:13">
      <c r="A9" s="1282" t="s">
        <v>1204</v>
      </c>
      <c r="B9" s="1282"/>
      <c r="C9" s="1282"/>
      <c r="D9" s="1282"/>
      <c r="E9" s="1282"/>
      <c r="F9" s="1282"/>
      <c r="G9" s="1282"/>
      <c r="H9" s="1071"/>
      <c r="I9" s="1072"/>
    </row>
    <row r="10" spans="1:13">
      <c r="A10" s="517"/>
      <c r="B10" s="517"/>
      <c r="E10" s="436"/>
    </row>
    <row r="11" spans="1:13" ht="13.65" customHeight="1">
      <c r="C11" s="517"/>
      <c r="D11" s="1334" t="s">
        <v>1203</v>
      </c>
      <c r="E11" s="1334"/>
      <c r="F11" s="1334"/>
    </row>
    <row r="12" spans="1:13">
      <c r="C12" s="517"/>
      <c r="D12" s="1334"/>
      <c r="E12" s="1334"/>
      <c r="F12" s="1334"/>
    </row>
    <row r="13" spans="1:13">
      <c r="A13" s="518"/>
      <c r="B13" s="518"/>
      <c r="C13" s="518"/>
      <c r="D13" s="1305" t="s">
        <v>1186</v>
      </c>
      <c r="E13" s="1305"/>
      <c r="F13" s="1305"/>
      <c r="M13" s="96"/>
    </row>
    <row r="14" spans="1:13">
      <c r="A14" s="518"/>
      <c r="B14" s="518"/>
      <c r="C14" s="518"/>
      <c r="D14" s="511"/>
      <c r="L14" s="336"/>
    </row>
    <row r="15" spans="1:13" ht="14.4">
      <c r="A15" s="519"/>
      <c r="B15" s="520" t="s">
        <v>2687</v>
      </c>
      <c r="C15" s="518"/>
      <c r="D15" s="1276" t="s">
        <v>2302</v>
      </c>
      <c r="E15" s="1276"/>
      <c r="F15" s="1276"/>
      <c r="I15" s="436" t="s">
        <v>2146</v>
      </c>
    </row>
    <row r="16" spans="1:13">
      <c r="A16" s="518"/>
      <c r="B16" s="518"/>
      <c r="C16" s="518"/>
      <c r="D16" s="1276"/>
      <c r="E16" s="1276"/>
      <c r="F16" s="1276"/>
    </row>
    <row r="17" spans="1:9">
      <c r="A17" s="518"/>
      <c r="B17" s="518"/>
      <c r="C17" s="518"/>
      <c r="D17" s="1276"/>
      <c r="E17" s="1276"/>
      <c r="F17" s="1276"/>
    </row>
    <row r="18" spans="1:9">
      <c r="A18" s="518"/>
      <c r="B18" s="518"/>
      <c r="C18" s="518"/>
      <c r="D18" s="480"/>
      <c r="E18" s="336" t="s">
        <v>2300</v>
      </c>
      <c r="F18" s="480"/>
    </row>
    <row r="19" spans="1:9">
      <c r="A19" s="518"/>
      <c r="B19" s="518"/>
      <c r="C19" s="518"/>
    </row>
    <row r="20" spans="1:9" ht="14.4">
      <c r="A20" s="519"/>
      <c r="B20" s="520" t="s">
        <v>2688</v>
      </c>
      <c r="D20" s="1276" t="s">
        <v>2303</v>
      </c>
      <c r="E20" s="1276"/>
      <c r="F20" s="1276"/>
      <c r="I20" s="436" t="s">
        <v>2147</v>
      </c>
    </row>
    <row r="21" spans="1:9" ht="14.4">
      <c r="A21" s="519"/>
      <c r="D21" s="1276"/>
      <c r="E21" s="1276"/>
      <c r="F21" s="1276"/>
    </row>
    <row r="22" spans="1:9" ht="14.4">
      <c r="A22" s="519"/>
      <c r="D22" s="424"/>
      <c r="E22" s="96" t="s">
        <v>2299</v>
      </c>
      <c r="F22" s="424"/>
    </row>
    <row r="23" spans="1:9" ht="14.4">
      <c r="A23" s="519"/>
      <c r="B23" s="519"/>
      <c r="D23" s="481"/>
    </row>
    <row r="24" spans="1:9" ht="14.4">
      <c r="A24" s="519"/>
      <c r="B24" s="520" t="s">
        <v>2687</v>
      </c>
      <c r="D24" s="1276" t="s">
        <v>1189</v>
      </c>
      <c r="E24" s="1276"/>
      <c r="F24" s="1276"/>
      <c r="I24" s="436" t="s">
        <v>2147</v>
      </c>
    </row>
    <row r="25" spans="1:9" ht="14.4">
      <c r="A25" s="519"/>
      <c r="B25" s="519"/>
      <c r="D25" s="1276"/>
      <c r="E25" s="1276"/>
      <c r="F25" s="1276"/>
    </row>
    <row r="26" spans="1:9"/>
    <row r="27" spans="1:9" ht="14.4">
      <c r="A27" s="519"/>
      <c r="B27" s="520" t="s">
        <v>2688</v>
      </c>
      <c r="D27" s="1276" t="s">
        <v>2442</v>
      </c>
      <c r="E27" s="1276"/>
      <c r="F27" s="1276"/>
      <c r="I27" s="436" t="s">
        <v>2150</v>
      </c>
    </row>
    <row r="28" spans="1:9">
      <c r="D28" s="1276"/>
      <c r="E28" s="1276"/>
      <c r="F28" s="1276"/>
    </row>
    <row r="29" spans="1:9">
      <c r="D29" s="1276"/>
      <c r="E29" s="1276"/>
      <c r="F29" s="1276"/>
    </row>
    <row r="30" spans="1:9">
      <c r="D30" s="1276"/>
      <c r="E30" s="1276"/>
      <c r="F30" s="1276"/>
    </row>
    <row r="31" spans="1:9">
      <c r="D31" s="1276"/>
      <c r="E31" s="1276"/>
      <c r="F31" s="1276"/>
    </row>
    <row r="32" spans="1:9">
      <c r="D32" s="482"/>
    </row>
    <row r="33" spans="1:9">
      <c r="B33" s="520" t="s">
        <v>2687</v>
      </c>
      <c r="D33" s="1276" t="s">
        <v>2443</v>
      </c>
      <c r="E33" s="1276"/>
      <c r="F33" s="1276"/>
      <c r="I33" s="436" t="s">
        <v>2146</v>
      </c>
    </row>
    <row r="34" spans="1:9">
      <c r="D34" s="1276"/>
      <c r="E34" s="1276"/>
      <c r="F34" s="1276"/>
    </row>
    <row r="35" spans="1:9" ht="14.4">
      <c r="A35" s="519"/>
      <c r="B35" s="519"/>
      <c r="D35" s="482"/>
    </row>
    <row r="36" spans="1:9" ht="14.4" customHeight="1">
      <c r="A36" s="519"/>
      <c r="B36" s="520" t="s">
        <v>2687</v>
      </c>
      <c r="D36" s="1276" t="s">
        <v>1356</v>
      </c>
      <c r="E36" s="1276"/>
      <c r="F36" s="1276"/>
      <c r="I36" s="436" t="s">
        <v>2217</v>
      </c>
    </row>
    <row r="37" spans="1:9" ht="14.4">
      <c r="A37" s="519"/>
      <c r="B37" s="519"/>
      <c r="D37" s="1276"/>
      <c r="E37" s="1276"/>
      <c r="F37" s="1276"/>
    </row>
    <row r="38" spans="1:9" ht="14.4">
      <c r="A38" s="519"/>
      <c r="B38" s="519"/>
      <c r="D38" s="1276"/>
      <c r="E38" s="1276"/>
      <c r="F38" s="1276"/>
    </row>
    <row r="39" spans="1:9" ht="14.4">
      <c r="A39" s="519"/>
      <c r="B39" s="519"/>
      <c r="D39" s="1276"/>
      <c r="E39" s="1276"/>
      <c r="F39" s="1276"/>
    </row>
    <row r="40" spans="1:9" ht="14.4">
      <c r="A40" s="519"/>
      <c r="B40" s="519"/>
    </row>
    <row r="41" spans="1:9" ht="14.4">
      <c r="A41" s="519"/>
      <c r="B41" s="520" t="s">
        <v>2687</v>
      </c>
      <c r="D41" s="1276" t="s">
        <v>1193</v>
      </c>
      <c r="E41" s="1276"/>
      <c r="F41" s="1276"/>
    </row>
    <row r="42" spans="1:9" ht="14.4">
      <c r="A42" s="519"/>
      <c r="B42" s="519"/>
      <c r="D42" s="1276"/>
      <c r="E42" s="1276"/>
      <c r="F42" s="1276"/>
    </row>
    <row r="43" spans="1:9" ht="14.4">
      <c r="A43" s="519"/>
      <c r="B43" s="519"/>
      <c r="D43" s="1276"/>
      <c r="E43" s="1276"/>
      <c r="F43" s="1276"/>
    </row>
    <row r="44" spans="1:9" ht="14.4">
      <c r="A44" s="519"/>
      <c r="B44" s="519"/>
      <c r="D44" s="1276"/>
      <c r="E44" s="1276"/>
      <c r="F44" s="1276"/>
    </row>
    <row r="45" spans="1:9" ht="14.4">
      <c r="A45" s="519"/>
      <c r="B45" s="519"/>
      <c r="D45" s="1276"/>
      <c r="E45" s="1276"/>
      <c r="F45" s="1276"/>
    </row>
    <row r="46" spans="1:9" ht="14.4">
      <c r="A46" s="519"/>
      <c r="B46" s="519"/>
      <c r="D46" s="480"/>
      <c r="E46" s="480"/>
      <c r="F46" s="480"/>
    </row>
    <row r="47" spans="1:9" ht="14.4">
      <c r="A47" s="519"/>
      <c r="B47" s="520" t="s">
        <v>2688</v>
      </c>
      <c r="D47" s="1276" t="s">
        <v>1194</v>
      </c>
      <c r="E47" s="1276"/>
      <c r="F47" s="1276"/>
      <c r="I47" s="436" t="s">
        <v>2217</v>
      </c>
    </row>
    <row r="48" spans="1:9" ht="14.4">
      <c r="A48" s="519"/>
      <c r="B48" s="519"/>
      <c r="D48" s="1276"/>
      <c r="E48" s="1276"/>
      <c r="F48" s="1276"/>
    </row>
    <row r="49" spans="1:9" ht="14.4">
      <c r="A49" s="519"/>
      <c r="B49" s="519"/>
      <c r="D49" s="1276"/>
      <c r="E49" s="1276"/>
      <c r="F49" s="1276"/>
    </row>
    <row r="50" spans="1:9" ht="23.25" customHeight="1">
      <c r="A50" s="519"/>
      <c r="B50" s="519"/>
      <c r="D50" s="1276"/>
      <c r="E50" s="1276"/>
      <c r="F50" s="1276"/>
    </row>
    <row r="51" spans="1:9" ht="14.4">
      <c r="A51" s="519"/>
      <c r="B51" s="519"/>
      <c r="D51" s="481"/>
    </row>
    <row r="52" spans="1:9" ht="14.4" customHeight="1">
      <c r="A52" s="519"/>
      <c r="B52" s="520" t="s">
        <v>2687</v>
      </c>
      <c r="D52" s="1276" t="s">
        <v>1195</v>
      </c>
      <c r="E52" s="1276"/>
      <c r="F52" s="1276"/>
      <c r="I52" s="436" t="s">
        <v>2217</v>
      </c>
    </row>
    <row r="53" spans="1:9" ht="14.4">
      <c r="A53" s="519"/>
      <c r="B53" s="519"/>
      <c r="D53" s="1276"/>
      <c r="E53" s="1276"/>
      <c r="F53" s="1276"/>
    </row>
    <row r="54" spans="1:9" ht="14.4">
      <c r="A54" s="519"/>
      <c r="B54" s="519"/>
      <c r="D54" s="1276"/>
      <c r="E54" s="1276"/>
      <c r="F54" s="1276"/>
    </row>
    <row r="55" spans="1:9" ht="14.4">
      <c r="A55" s="519"/>
      <c r="B55" s="519"/>
    </row>
    <row r="56" spans="1:9" ht="14.4">
      <c r="A56" s="519"/>
      <c r="B56" s="520" t="s">
        <v>2688</v>
      </c>
      <c r="D56" s="1335" t="s">
        <v>1196</v>
      </c>
      <c r="E56" s="1335"/>
      <c r="F56" s="1335"/>
    </row>
    <row r="57" spans="1:9" ht="14.4">
      <c r="A57" s="519"/>
      <c r="B57" s="519"/>
      <c r="D57" s="1335"/>
      <c r="E57" s="1335"/>
      <c r="F57" s="1335"/>
    </row>
    <row r="58" spans="1:9" ht="14.4">
      <c r="A58" s="519"/>
      <c r="B58" s="519"/>
      <c r="D58" s="424" t="s">
        <v>2301</v>
      </c>
      <c r="E58" s="480"/>
      <c r="F58" s="480"/>
    </row>
    <row r="59" spans="1:9" ht="14.4">
      <c r="A59" s="519"/>
      <c r="B59" s="519"/>
      <c r="D59" s="480"/>
      <c r="E59" s="336" t="s">
        <v>2300</v>
      </c>
      <c r="F59" s="480"/>
    </row>
    <row r="60" spans="1:9">
      <c r="D60" s="482"/>
    </row>
    <row r="61" spans="1:9" ht="14.4">
      <c r="A61" s="519"/>
      <c r="B61" s="520" t="s">
        <v>2688</v>
      </c>
      <c r="D61" s="1276" t="s">
        <v>1197</v>
      </c>
      <c r="E61" s="1276"/>
      <c r="F61" s="1276"/>
      <c r="I61" s="436" t="s">
        <v>2148</v>
      </c>
    </row>
    <row r="62" spans="1:9">
      <c r="D62" s="1276"/>
      <c r="E62" s="1276"/>
      <c r="F62" s="1276"/>
    </row>
    <row r="63" spans="1:9">
      <c r="D63" s="1276"/>
      <c r="E63" s="1276"/>
      <c r="F63" s="1276"/>
    </row>
    <row r="64" spans="1:9"/>
    <row r="65" spans="1:9" ht="14.4">
      <c r="A65" s="519"/>
      <c r="B65" s="520" t="s">
        <v>2687</v>
      </c>
      <c r="D65" s="1276" t="s">
        <v>1198</v>
      </c>
      <c r="E65" s="1276"/>
      <c r="F65" s="1276"/>
      <c r="I65" s="436" t="s">
        <v>2149</v>
      </c>
    </row>
    <row r="66" spans="1:9">
      <c r="D66" s="1276"/>
      <c r="E66" s="1276"/>
      <c r="F66" s="1276"/>
    </row>
    <row r="67" spans="1:9"/>
    <row r="68" spans="1:9" ht="14.4">
      <c r="A68" s="519"/>
      <c r="B68" s="520" t="s">
        <v>2687</v>
      </c>
      <c r="D68" s="1276" t="s">
        <v>1199</v>
      </c>
      <c r="E68" s="1276"/>
      <c r="F68" s="1276"/>
    </row>
    <row r="69" spans="1:9">
      <c r="D69" s="1276"/>
      <c r="E69" s="1276"/>
      <c r="F69" s="1276"/>
      <c r="I69" s="436" t="s">
        <v>2150</v>
      </c>
    </row>
    <row r="70" spans="1:9">
      <c r="D70" s="1276"/>
      <c r="E70" s="1276"/>
      <c r="F70" s="1276"/>
    </row>
    <row r="71" spans="1:9"/>
    <row r="72" spans="1:9" ht="14.4">
      <c r="A72" s="519"/>
      <c r="B72" s="520" t="s">
        <v>2687</v>
      </c>
      <c r="D72" s="1276" t="s">
        <v>1200</v>
      </c>
      <c r="E72" s="1276"/>
      <c r="F72" s="1276"/>
      <c r="I72" s="436" t="s">
        <v>2150</v>
      </c>
    </row>
    <row r="73" spans="1:9">
      <c r="D73" s="1276"/>
      <c r="E73" s="1276"/>
      <c r="F73" s="1276"/>
    </row>
    <row r="74" spans="1:9" ht="14.4">
      <c r="A74" s="519"/>
      <c r="B74" s="519"/>
      <c r="D74" s="481"/>
    </row>
    <row r="75" spans="1:9">
      <c r="A75" s="1282" t="s">
        <v>1107</v>
      </c>
      <c r="B75" s="1282"/>
      <c r="C75" s="1282"/>
      <c r="D75" s="1282"/>
      <c r="E75" s="1282"/>
      <c r="F75" s="1282"/>
      <c r="G75" s="1282"/>
      <c r="H75" s="1071"/>
      <c r="I75" s="1072"/>
    </row>
    <row r="76" spans="1:9"/>
    <row r="77" spans="1:9">
      <c r="C77" s="521"/>
      <c r="D77" s="1304" t="s">
        <v>1205</v>
      </c>
      <c r="E77" s="1304"/>
      <c r="F77" s="1304"/>
    </row>
    <row r="78" spans="1:9">
      <c r="A78" s="481"/>
      <c r="B78" s="481"/>
      <c r="D78" s="1276" t="s">
        <v>1232</v>
      </c>
      <c r="E78" s="1276"/>
      <c r="F78" s="1276"/>
    </row>
    <row r="79" spans="1:9">
      <c r="A79" s="481"/>
      <c r="B79" s="481"/>
    </row>
    <row r="80" spans="1:9" ht="13.65" customHeight="1">
      <c r="A80" s="519"/>
      <c r="B80" s="520" t="s">
        <v>2688</v>
      </c>
      <c r="D80" s="1276" t="s">
        <v>1400</v>
      </c>
      <c r="E80" s="1276"/>
      <c r="F80" s="1276"/>
      <c r="I80" s="436" t="s">
        <v>2151</v>
      </c>
    </row>
    <row r="81" spans="1:9" ht="14.4">
      <c r="A81" s="519"/>
      <c r="B81" s="519"/>
      <c r="D81" s="1276"/>
      <c r="E81" s="1276"/>
      <c r="F81" s="1276"/>
    </row>
    <row r="82" spans="1:9" ht="14.4">
      <c r="A82" s="519"/>
      <c r="B82" s="519"/>
      <c r="D82" s="1276"/>
      <c r="E82" s="1276"/>
      <c r="F82" s="1276"/>
    </row>
    <row r="83" spans="1:9" ht="14.4">
      <c r="A83" s="519"/>
      <c r="B83" s="519"/>
      <c r="D83" s="1276"/>
      <c r="E83" s="1276"/>
      <c r="F83" s="1276"/>
    </row>
    <row r="84" spans="1:9" ht="14.4">
      <c r="A84" s="519"/>
      <c r="B84" s="519"/>
      <c r="D84" s="1276"/>
      <c r="E84" s="1276"/>
      <c r="F84" s="1276"/>
    </row>
    <row r="85" spans="1:9" ht="14.4">
      <c r="A85" s="519"/>
      <c r="B85" s="519"/>
      <c r="D85" s="1276"/>
      <c r="E85" s="1276"/>
      <c r="F85" s="1276"/>
    </row>
    <row r="86" spans="1:9" ht="14.4">
      <c r="A86" s="519"/>
      <c r="B86" s="519"/>
      <c r="D86" s="1276"/>
      <c r="E86" s="1276"/>
      <c r="F86" s="1276"/>
    </row>
    <row r="87" spans="1:9" ht="14.4">
      <c r="A87" s="519"/>
      <c r="B87" s="519"/>
      <c r="D87" s="1276"/>
      <c r="E87" s="1276"/>
      <c r="F87" s="1276"/>
    </row>
    <row r="88" spans="1:9" ht="14.4">
      <c r="A88" s="519"/>
      <c r="B88" s="519"/>
      <c r="D88" s="417"/>
      <c r="E88" s="417"/>
      <c r="F88" s="417"/>
    </row>
    <row r="89" spans="1:9" ht="15" customHeight="1">
      <c r="A89" s="519"/>
      <c r="B89" s="520" t="s">
        <v>2688</v>
      </c>
      <c r="D89" s="1276" t="s">
        <v>2002</v>
      </c>
      <c r="E89" s="1276"/>
      <c r="F89" s="1276"/>
      <c r="I89" s="436" t="s">
        <v>2152</v>
      </c>
    </row>
    <row r="90" spans="1:9" ht="14.4">
      <c r="A90" s="519"/>
      <c r="B90" s="519"/>
      <c r="D90" s="1276"/>
      <c r="E90" s="1276"/>
      <c r="F90" s="1276"/>
    </row>
    <row r="91" spans="1:9" ht="14.4">
      <c r="A91" s="519"/>
      <c r="B91" s="519"/>
      <c r="D91" s="480"/>
      <c r="E91" s="480"/>
      <c r="F91" s="480"/>
    </row>
    <row r="92" spans="1:9" ht="14.4">
      <c r="A92" s="519"/>
      <c r="B92" s="520" t="s">
        <v>2687</v>
      </c>
      <c r="D92" s="1276" t="s">
        <v>2005</v>
      </c>
      <c r="E92" s="1276"/>
      <c r="F92" s="1276"/>
      <c r="I92" s="436" t="s">
        <v>2153</v>
      </c>
    </row>
    <row r="93" spans="1:9" ht="14.4">
      <c r="A93" s="519"/>
      <c r="B93" s="519"/>
      <c r="D93" s="1276"/>
      <c r="E93" s="1276"/>
      <c r="F93" s="1276"/>
    </row>
    <row r="94" spans="1:9" ht="14.4">
      <c r="A94" s="519"/>
      <c r="B94" s="519"/>
      <c r="D94" s="1276"/>
      <c r="E94" s="1276"/>
      <c r="F94" s="1276"/>
    </row>
    <row r="95" spans="1:9" ht="14.4">
      <c r="A95" s="519"/>
      <c r="B95" s="519"/>
      <c r="D95" s="480"/>
      <c r="E95" s="480"/>
      <c r="F95" s="480"/>
    </row>
    <row r="96" spans="1:9" ht="14.4">
      <c r="A96" s="519"/>
      <c r="B96" s="520" t="s">
        <v>2688</v>
      </c>
      <c r="D96" s="1276" t="s">
        <v>2004</v>
      </c>
      <c r="E96" s="1276"/>
      <c r="F96" s="1276"/>
      <c r="I96" s="436" t="s">
        <v>2198</v>
      </c>
    </row>
    <row r="97" spans="1:9" s="1024" customFormat="1" ht="14.4">
      <c r="A97" s="1022"/>
      <c r="B97" s="1022"/>
      <c r="C97" s="1023"/>
      <c r="D97" s="1276"/>
      <c r="E97" s="1276"/>
      <c r="F97" s="1276"/>
      <c r="I97" s="1063"/>
    </row>
    <row r="98" spans="1:9" ht="14.4">
      <c r="A98" s="519"/>
      <c r="B98" s="519"/>
      <c r="D98" s="424"/>
      <c r="E98" s="336" t="s">
        <v>2304</v>
      </c>
      <c r="F98" s="480"/>
    </row>
    <row r="99" spans="1:9" ht="14.4">
      <c r="A99" s="519"/>
      <c r="B99" s="519"/>
      <c r="D99" s="417"/>
      <c r="E99" s="417"/>
      <c r="F99" s="417"/>
    </row>
    <row r="100" spans="1:9" ht="14.4">
      <c r="A100" s="519"/>
      <c r="B100" s="520" t="s">
        <v>2687</v>
      </c>
      <c r="D100" s="1276" t="s">
        <v>2003</v>
      </c>
      <c r="E100" s="1276"/>
      <c r="F100" s="1276"/>
      <c r="I100" s="436" t="s">
        <v>2154</v>
      </c>
    </row>
    <row r="101" spans="1:9" ht="14.4">
      <c r="A101" s="519"/>
      <c r="B101" s="519"/>
      <c r="D101" s="1276"/>
      <c r="E101" s="1276"/>
      <c r="F101" s="1276"/>
    </row>
    <row r="102" spans="1:9" ht="14.4">
      <c r="A102" s="519"/>
      <c r="B102" s="519"/>
      <c r="D102" s="480"/>
      <c r="E102" s="480"/>
      <c r="F102" s="480"/>
    </row>
    <row r="103" spans="1:9" ht="14.4" customHeight="1">
      <c r="A103" s="519"/>
      <c r="B103" s="520" t="s">
        <v>2687</v>
      </c>
      <c r="D103" s="1276" t="s">
        <v>1336</v>
      </c>
      <c r="E103" s="1276"/>
      <c r="F103" s="1276"/>
      <c r="I103" s="436" t="s">
        <v>2155</v>
      </c>
    </row>
    <row r="104" spans="1:9" ht="14.4">
      <c r="A104" s="519"/>
      <c r="B104" s="519"/>
      <c r="D104" s="1276"/>
      <c r="E104" s="1276"/>
      <c r="F104" s="1276"/>
    </row>
    <row r="105" spans="1:9" ht="14.4">
      <c r="A105" s="519"/>
      <c r="B105" s="519"/>
      <c r="D105" s="1276"/>
      <c r="E105" s="1276"/>
      <c r="F105" s="1276"/>
    </row>
    <row r="106" spans="1:9" ht="14.4">
      <c r="A106" s="519"/>
      <c r="B106" s="519"/>
      <c r="D106" s="1276"/>
      <c r="E106" s="1276"/>
      <c r="F106" s="1276"/>
    </row>
    <row r="107" spans="1:9" ht="14.4">
      <c r="A107" s="519"/>
      <c r="B107" s="519"/>
      <c r="D107" s="1276"/>
      <c r="E107" s="1276"/>
      <c r="F107" s="1276"/>
    </row>
    <row r="108" spans="1:9" ht="14.4">
      <c r="A108" s="519"/>
      <c r="B108" s="519"/>
      <c r="D108" s="1276"/>
      <c r="E108" s="1276"/>
      <c r="F108" s="1276"/>
    </row>
    <row r="109" spans="1:9" ht="14.4">
      <c r="A109" s="519"/>
      <c r="B109" s="519"/>
      <c r="D109" s="1276"/>
      <c r="E109" s="1276"/>
      <c r="F109" s="1276"/>
    </row>
    <row r="110" spans="1:9" ht="14.4">
      <c r="A110" s="519"/>
      <c r="B110" s="519"/>
      <c r="D110" s="1276"/>
      <c r="E110" s="1276"/>
      <c r="F110" s="1276"/>
    </row>
    <row r="111" spans="1:9" ht="14.4">
      <c r="A111" s="519"/>
      <c r="B111" s="519"/>
      <c r="D111" s="1276"/>
      <c r="E111" s="1276"/>
      <c r="F111" s="1276"/>
    </row>
    <row r="112" spans="1:9" ht="14.4">
      <c r="A112" s="519"/>
      <c r="B112" s="519"/>
      <c r="D112" s="1276"/>
      <c r="E112" s="1276"/>
      <c r="F112" s="1276"/>
    </row>
    <row r="113" spans="1:9" ht="14.4">
      <c r="A113" s="519"/>
      <c r="B113" s="519"/>
      <c r="D113" s="1276"/>
      <c r="E113" s="1276"/>
      <c r="F113" s="1276"/>
    </row>
    <row r="114" spans="1:9" ht="14.4">
      <c r="A114" s="519"/>
      <c r="B114" s="519"/>
      <c r="D114" s="1276"/>
      <c r="E114" s="1276"/>
      <c r="F114" s="1276"/>
    </row>
    <row r="115" spans="1:9" ht="14.4">
      <c r="A115" s="519"/>
      <c r="B115" s="519"/>
      <c r="D115" s="1276"/>
      <c r="E115" s="1276"/>
      <c r="F115" s="1276"/>
    </row>
    <row r="116" spans="1:9" ht="14.4">
      <c r="A116" s="519"/>
      <c r="B116" s="519"/>
      <c r="D116" s="1276"/>
      <c r="E116" s="1276"/>
      <c r="F116" s="1276"/>
    </row>
    <row r="117" spans="1:9" ht="14.4">
      <c r="A117" s="519"/>
      <c r="B117" s="519"/>
      <c r="D117" s="1276"/>
      <c r="E117" s="1276"/>
      <c r="F117" s="1276"/>
    </row>
    <row r="118" spans="1:9" ht="14.4">
      <c r="A118" s="519"/>
      <c r="B118" s="519"/>
      <c r="D118" s="559"/>
      <c r="E118" s="559"/>
      <c r="F118" s="559"/>
    </row>
    <row r="119" spans="1:9" ht="14.25" customHeight="1">
      <c r="A119" s="519"/>
      <c r="B119" s="520" t="s">
        <v>2687</v>
      </c>
      <c r="D119" s="1303" t="s">
        <v>1207</v>
      </c>
      <c r="E119" s="1303"/>
      <c r="F119" s="1303"/>
    </row>
    <row r="120" spans="1:9" ht="14.4">
      <c r="A120" s="519"/>
      <c r="B120" s="519"/>
      <c r="D120" s="1303"/>
      <c r="E120" s="1303"/>
      <c r="F120" s="1303"/>
    </row>
    <row r="121" spans="1:9" ht="14.4">
      <c r="A121" s="519"/>
      <c r="B121" s="519"/>
      <c r="D121" s="1303"/>
      <c r="E121" s="1303"/>
      <c r="F121" s="1303"/>
    </row>
    <row r="122" spans="1:9" ht="14.4">
      <c r="A122" s="519"/>
      <c r="B122" s="519"/>
      <c r="D122" s="1303"/>
      <c r="E122" s="1303"/>
      <c r="F122" s="1303"/>
    </row>
    <row r="123" spans="1:9" ht="14.4">
      <c r="A123" s="519"/>
      <c r="B123" s="519"/>
      <c r="D123" s="1303"/>
      <c r="E123" s="1303"/>
      <c r="F123" s="1303"/>
    </row>
    <row r="124" spans="1:9" ht="14.4">
      <c r="A124" s="519"/>
      <c r="B124" s="519"/>
      <c r="D124" s="1303"/>
      <c r="E124" s="1303"/>
      <c r="F124" s="1303"/>
    </row>
    <row r="125" spans="1:9" ht="14.4">
      <c r="A125" s="519"/>
      <c r="B125" s="519"/>
      <c r="D125" s="1303"/>
      <c r="E125" s="1303"/>
      <c r="F125" s="1303"/>
    </row>
    <row r="126" spans="1:9" ht="14.4">
      <c r="A126" s="519"/>
      <c r="B126" s="519"/>
      <c r="D126" s="1303"/>
      <c r="E126" s="1303"/>
      <c r="F126" s="1303"/>
    </row>
    <row r="127" spans="1:9">
      <c r="C127" s="434"/>
      <c r="D127" s="560"/>
      <c r="E127" s="560"/>
      <c r="F127" s="560"/>
    </row>
    <row r="128" spans="1:9" ht="14.4">
      <c r="A128" s="519"/>
      <c r="B128" s="520" t="s">
        <v>2687</v>
      </c>
      <c r="C128" s="434"/>
      <c r="D128" s="1303" t="s">
        <v>2444</v>
      </c>
      <c r="E128" s="1303"/>
      <c r="F128" s="1303"/>
      <c r="I128" s="436" t="s">
        <v>2156</v>
      </c>
    </row>
    <row r="129" spans="1:9" ht="14.4">
      <c r="A129" s="519"/>
      <c r="B129" s="519"/>
      <c r="C129" s="434"/>
      <c r="D129" s="1303"/>
      <c r="E129" s="1303"/>
      <c r="F129" s="1303"/>
    </row>
    <row r="130" spans="1:9"/>
    <row r="131" spans="1:9" ht="14.4">
      <c r="A131" s="519"/>
      <c r="B131" s="520" t="s">
        <v>2687</v>
      </c>
      <c r="D131" s="1276" t="s">
        <v>1210</v>
      </c>
      <c r="E131" s="1276"/>
      <c r="F131" s="1276"/>
      <c r="I131" s="436" t="s">
        <v>2156</v>
      </c>
    </row>
    <row r="132" spans="1:9">
      <c r="D132" s="1276"/>
      <c r="E132" s="1276"/>
      <c r="F132" s="1276"/>
    </row>
    <row r="133" spans="1:9">
      <c r="D133" s="1276"/>
      <c r="E133" s="1276"/>
      <c r="F133" s="1276"/>
    </row>
    <row r="134" spans="1:9">
      <c r="D134" s="1276"/>
      <c r="E134" s="1276"/>
      <c r="F134" s="1276"/>
    </row>
    <row r="135" spans="1:9">
      <c r="D135" s="1276"/>
      <c r="E135" s="1276"/>
      <c r="F135" s="1276"/>
    </row>
    <row r="136" spans="1:9"/>
    <row r="137" spans="1:9" ht="14.4">
      <c r="A137" s="519"/>
      <c r="B137" s="520" t="s">
        <v>2688</v>
      </c>
      <c r="D137" s="1276" t="s">
        <v>1211</v>
      </c>
      <c r="E137" s="1276"/>
      <c r="F137" s="1276"/>
      <c r="I137" s="436" t="s">
        <v>2157</v>
      </c>
    </row>
    <row r="138" spans="1:9" s="449" customFormat="1" ht="13.65" customHeight="1">
      <c r="A138" s="523"/>
      <c r="B138" s="523"/>
      <c r="C138" s="523"/>
      <c r="D138" s="1276"/>
      <c r="E138" s="1276"/>
      <c r="F138" s="1276"/>
      <c r="I138" s="1064"/>
    </row>
    <row r="139" spans="1:9" ht="13.65" customHeight="1">
      <c r="D139" s="1276"/>
      <c r="E139" s="1276"/>
      <c r="F139" s="1276"/>
    </row>
    <row r="140" spans="1:9" ht="13.65" customHeight="1">
      <c r="D140" s="1276"/>
      <c r="E140" s="1276"/>
      <c r="F140" s="1276"/>
    </row>
    <row r="141" spans="1:9" ht="13.65" customHeight="1">
      <c r="D141" s="1276"/>
      <c r="E141" s="1276"/>
      <c r="F141" s="1276"/>
    </row>
    <row r="142" spans="1:9" ht="13.65" customHeight="1">
      <c r="A142" s="524"/>
      <c r="B142" s="524"/>
      <c r="D142" s="1276"/>
      <c r="E142" s="1276"/>
      <c r="F142" s="1276"/>
    </row>
    <row r="143" spans="1:9" ht="13.65" customHeight="1">
      <c r="D143" s="1276"/>
      <c r="E143" s="1276"/>
      <c r="F143" s="1276"/>
    </row>
    <row r="144" spans="1:9" ht="13.65" customHeight="1">
      <c r="D144" s="1276"/>
      <c r="E144" s="1276"/>
      <c r="F144" s="1276"/>
    </row>
    <row r="145" spans="2:9" ht="13.65" customHeight="1">
      <c r="D145" s="1276"/>
      <c r="E145" s="1276"/>
      <c r="F145" s="1276"/>
    </row>
    <row r="146" spans="2:9" ht="13.65" customHeight="1">
      <c r="D146" s="1276"/>
      <c r="E146" s="1276"/>
      <c r="F146" s="1276"/>
    </row>
    <row r="147" spans="2:9" ht="13.65" customHeight="1">
      <c r="D147" s="1276"/>
      <c r="E147" s="1276"/>
      <c r="F147" s="1276"/>
    </row>
    <row r="148" spans="2:9" ht="13.65" customHeight="1">
      <c r="D148" s="1276"/>
      <c r="E148" s="1276"/>
      <c r="F148" s="1276"/>
    </row>
    <row r="149" spans="2:9" ht="13.65" customHeight="1">
      <c r="D149" s="1276"/>
      <c r="E149" s="1276"/>
      <c r="F149" s="1276"/>
    </row>
    <row r="150" spans="2:9" ht="13.65" customHeight="1">
      <c r="D150" s="511"/>
      <c r="E150" s="481"/>
      <c r="F150" s="481"/>
    </row>
    <row r="151" spans="2:9" ht="13.65" customHeight="1">
      <c r="B151" s="520" t="s">
        <v>2687</v>
      </c>
      <c r="D151" s="1276" t="s">
        <v>1319</v>
      </c>
      <c r="E151" s="1276"/>
      <c r="F151" s="1276"/>
      <c r="I151" s="436" t="s">
        <v>2158</v>
      </c>
    </row>
    <row r="152" spans="2:9" ht="13.65" customHeight="1">
      <c r="D152" s="1276"/>
      <c r="E152" s="1276"/>
      <c r="F152" s="1276"/>
    </row>
    <row r="153" spans="2:9" ht="13.65" customHeight="1">
      <c r="D153" s="1276"/>
      <c r="E153" s="1276"/>
      <c r="F153" s="1276"/>
    </row>
    <row r="154" spans="2:9" ht="13.65" customHeight="1">
      <c r="D154" s="1276"/>
      <c r="E154" s="1276"/>
      <c r="F154" s="1276"/>
    </row>
    <row r="155" spans="2:9" ht="13.65" customHeight="1">
      <c r="D155" s="1276"/>
      <c r="E155" s="1276"/>
      <c r="F155" s="1276"/>
    </row>
    <row r="156" spans="2:9" ht="13.65" customHeight="1">
      <c r="D156" s="1276"/>
      <c r="E156" s="1276"/>
      <c r="F156" s="1276"/>
    </row>
    <row r="157" spans="2:9" ht="13.65" customHeight="1">
      <c r="D157" s="1276"/>
      <c r="E157" s="1276"/>
      <c r="F157" s="1276"/>
    </row>
    <row r="158" spans="2:9" ht="13.65" customHeight="1">
      <c r="D158" s="1276"/>
      <c r="E158" s="1276"/>
      <c r="F158" s="1276"/>
    </row>
    <row r="159" spans="2:9" ht="13.65" customHeight="1">
      <c r="D159" s="1276"/>
      <c r="E159" s="1276"/>
      <c r="F159" s="1276"/>
    </row>
    <row r="160" spans="2:9" ht="13.65" customHeight="1">
      <c r="D160" s="1276"/>
      <c r="E160" s="1276"/>
      <c r="F160" s="1276"/>
    </row>
    <row r="161" spans="1:9" ht="13.65" customHeight="1">
      <c r="D161" s="1276"/>
      <c r="E161" s="1276"/>
      <c r="F161" s="1276"/>
    </row>
    <row r="162" spans="1:9" ht="13.65" customHeight="1">
      <c r="D162" s="1276"/>
      <c r="E162" s="1276"/>
      <c r="F162" s="1276"/>
    </row>
    <row r="163" spans="1:9" ht="13.65" customHeight="1">
      <c r="D163" s="1276"/>
      <c r="E163" s="1276"/>
      <c r="F163" s="1276"/>
    </row>
    <row r="164" spans="1:9" ht="13.65" customHeight="1">
      <c r="D164" s="1276"/>
      <c r="E164" s="1276"/>
      <c r="F164" s="1276"/>
    </row>
    <row r="165" spans="1:9" ht="13.65" customHeight="1">
      <c r="D165" s="1276"/>
      <c r="E165" s="1276"/>
      <c r="F165" s="1276"/>
    </row>
    <row r="166" spans="1:9" ht="13.65" customHeight="1">
      <c r="D166" s="1276"/>
      <c r="E166" s="1276"/>
      <c r="F166" s="1276"/>
    </row>
    <row r="167" spans="1:9" ht="13.65" customHeight="1">
      <c r="D167" s="1276"/>
      <c r="E167" s="1276"/>
      <c r="F167" s="1276"/>
    </row>
    <row r="168" spans="1:9" ht="13.65" customHeight="1">
      <c r="D168" s="1276"/>
      <c r="E168" s="1276"/>
      <c r="F168" s="1276"/>
    </row>
    <row r="169" spans="1:9" ht="13.65" customHeight="1">
      <c r="D169" s="1336" t="s">
        <v>2468</v>
      </c>
      <c r="E169" s="1336"/>
      <c r="F169" s="1336"/>
      <c r="G169" s="542"/>
    </row>
    <row r="170" spans="1:9" ht="13.65" customHeight="1">
      <c r="D170" s="1309"/>
      <c r="E170" s="1309"/>
      <c r="F170" s="1309"/>
      <c r="G170" s="1309"/>
    </row>
    <row r="171" spans="1:9" ht="14.4" customHeight="1">
      <c r="A171" s="524"/>
      <c r="B171" s="520" t="s">
        <v>2687</v>
      </c>
      <c r="C171" s="511"/>
      <c r="D171" s="1264" t="s">
        <v>1366</v>
      </c>
      <c r="E171" s="1264"/>
      <c r="F171" s="1264"/>
      <c r="G171" s="511"/>
      <c r="I171" s="436" t="s">
        <v>2153</v>
      </c>
    </row>
    <row r="172" spans="1:9" ht="14.4" customHeight="1">
      <c r="A172" s="524"/>
      <c r="B172" s="524"/>
      <c r="C172" s="511"/>
      <c r="D172" s="1264"/>
      <c r="E172" s="1264"/>
      <c r="F172" s="1264"/>
      <c r="G172" s="511"/>
    </row>
    <row r="173" spans="1:9" ht="13.65" customHeight="1">
      <c r="A173" s="524"/>
      <c r="B173" s="524"/>
      <c r="C173" s="511"/>
      <c r="D173" s="1264"/>
      <c r="E173" s="1264"/>
      <c r="F173" s="1264"/>
      <c r="G173" s="511"/>
    </row>
    <row r="174" spans="1:9" ht="13.65" customHeight="1">
      <c r="A174" s="524"/>
      <c r="B174" s="524"/>
      <c r="C174" s="511"/>
      <c r="D174" s="511"/>
      <c r="E174" s="511"/>
      <c r="F174" s="511"/>
      <c r="G174" s="511"/>
    </row>
    <row r="175" spans="1:9" ht="13.65" customHeight="1">
      <c r="A175" s="524"/>
      <c r="B175" s="520" t="s">
        <v>2687</v>
      </c>
      <c r="C175" s="511"/>
      <c r="D175" s="1264" t="s">
        <v>1213</v>
      </c>
      <c r="E175" s="1264"/>
      <c r="F175" s="1264"/>
      <c r="G175" s="511"/>
      <c r="I175" s="436" t="s">
        <v>2159</v>
      </c>
    </row>
    <row r="176" spans="1:9" ht="13.65" customHeight="1">
      <c r="A176" s="524"/>
      <c r="B176" s="524"/>
      <c r="C176" s="511"/>
      <c r="D176" s="1264"/>
      <c r="E176" s="1264"/>
      <c r="F176" s="1264"/>
      <c r="G176" s="511"/>
    </row>
    <row r="177" spans="1:9" ht="13.65" customHeight="1">
      <c r="A177" s="524"/>
      <c r="B177" s="524"/>
      <c r="C177" s="511"/>
      <c r="D177" s="1264"/>
      <c r="E177" s="1264"/>
      <c r="F177" s="1264"/>
      <c r="G177" s="511"/>
    </row>
    <row r="178" spans="1:9" ht="13.65" customHeight="1">
      <c r="A178" s="524"/>
      <c r="B178" s="524"/>
      <c r="C178" s="511"/>
      <c r="D178" s="1264"/>
      <c r="E178" s="1264"/>
      <c r="F178" s="1264"/>
      <c r="G178" s="511"/>
    </row>
    <row r="179" spans="1:9" ht="13.65" customHeight="1">
      <c r="D179" s="481"/>
      <c r="E179" s="481"/>
      <c r="F179" s="481"/>
    </row>
    <row r="180" spans="1:9" ht="13.65" customHeight="1">
      <c r="B180" s="520" t="s">
        <v>2687</v>
      </c>
      <c r="D180" s="1298" t="s">
        <v>2445</v>
      </c>
      <c r="E180" s="1298"/>
      <c r="F180" s="1298"/>
      <c r="I180" s="436" t="s">
        <v>2160</v>
      </c>
    </row>
    <row r="181" spans="1:9" ht="13.65" customHeight="1">
      <c r="D181" s="1298"/>
      <c r="E181" s="1298"/>
      <c r="F181" s="1298"/>
    </row>
    <row r="182" spans="1:9" ht="13.65" customHeight="1">
      <c r="D182" s="1298"/>
      <c r="E182" s="1298"/>
      <c r="F182" s="1298"/>
    </row>
    <row r="183" spans="1:9" ht="13.65" customHeight="1">
      <c r="A183" s="525"/>
      <c r="B183" s="525"/>
      <c r="E183" s="481"/>
      <c r="F183" s="481"/>
    </row>
    <row r="184" spans="1:9">
      <c r="A184" s="1282" t="s">
        <v>2446</v>
      </c>
      <c r="B184" s="1282"/>
      <c r="C184" s="1282"/>
      <c r="D184" s="1282"/>
      <c r="E184" s="1282"/>
      <c r="F184" s="1282"/>
      <c r="G184" s="1282"/>
      <c r="H184" s="1071"/>
      <c r="I184" s="1072"/>
    </row>
    <row r="185" spans="1:9" ht="12" customHeight="1">
      <c r="D185" s="481"/>
      <c r="E185" s="481"/>
      <c r="F185" s="481"/>
    </row>
    <row r="186" spans="1:9">
      <c r="B186" s="1291" t="s">
        <v>450</v>
      </c>
      <c r="C186" s="1291"/>
      <c r="D186" s="1291"/>
      <c r="E186" s="1291"/>
      <c r="F186" s="1291"/>
    </row>
    <row r="187" spans="1:9">
      <c r="B187" s="424" t="s">
        <v>2139</v>
      </c>
      <c r="C187" s="424"/>
      <c r="D187" s="424"/>
      <c r="E187" s="424"/>
      <c r="F187" s="424"/>
    </row>
    <row r="188" spans="1:9" ht="12" customHeight="1">
      <c r="A188" s="517"/>
      <c r="B188" s="517"/>
      <c r="C188" s="517"/>
    </row>
    <row r="189" spans="1:9">
      <c r="A189" s="1282" t="s">
        <v>1109</v>
      </c>
      <c r="B189" s="1282"/>
      <c r="C189" s="1282"/>
      <c r="D189" s="1282"/>
      <c r="E189" s="1282"/>
      <c r="F189" s="1282"/>
      <c r="G189" s="1282"/>
      <c r="H189" s="1071"/>
      <c r="I189" s="1072"/>
    </row>
    <row r="190" spans="1:9" ht="12" customHeight="1">
      <c r="A190" s="436"/>
      <c r="B190" s="436"/>
      <c r="E190" s="436"/>
    </row>
    <row r="191" spans="1:9" ht="13.65" customHeight="1">
      <c r="A191" s="436"/>
      <c r="B191" s="436"/>
      <c r="D191" s="1304" t="s">
        <v>2006</v>
      </c>
      <c r="E191" s="1304"/>
      <c r="F191" s="1304"/>
    </row>
    <row r="192" spans="1:9">
      <c r="A192" s="436"/>
      <c r="B192" s="436"/>
      <c r="D192" s="1304"/>
      <c r="E192" s="1304"/>
      <c r="F192" s="1304"/>
    </row>
    <row r="193" spans="1:9">
      <c r="A193" s="436"/>
      <c r="B193" s="436"/>
      <c r="D193" s="1291" t="s">
        <v>1337</v>
      </c>
      <c r="E193" s="1291"/>
      <c r="F193" s="1291"/>
    </row>
    <row r="194" spans="1:9">
      <c r="A194" s="436"/>
      <c r="B194" s="436"/>
      <c r="D194" s="424"/>
      <c r="E194" s="424"/>
      <c r="F194" s="424"/>
    </row>
    <row r="195" spans="1:9">
      <c r="A195" s="436"/>
      <c r="B195" s="520" t="s">
        <v>2688</v>
      </c>
      <c r="D195" s="1281" t="s">
        <v>2007</v>
      </c>
      <c r="E195" s="1281"/>
      <c r="F195" s="1281"/>
      <c r="I195" s="436" t="s">
        <v>2209</v>
      </c>
    </row>
    <row r="196" spans="1:9">
      <c r="A196" s="436"/>
      <c r="B196" s="436"/>
      <c r="D196" s="1285" t="s">
        <v>2282</v>
      </c>
      <c r="E196" s="1285"/>
      <c r="F196" s="1285"/>
    </row>
    <row r="197" spans="1:9">
      <c r="A197" s="436"/>
      <c r="B197" s="436"/>
      <c r="D197" s="96" t="s">
        <v>2008</v>
      </c>
      <c r="E197" s="1332" t="s">
        <v>2305</v>
      </c>
      <c r="F197" s="1332"/>
    </row>
    <row r="198" spans="1:9">
      <c r="A198" s="436"/>
      <c r="B198" s="436"/>
      <c r="D198" s="3"/>
      <c r="E198" s="3"/>
      <c r="F198" s="3"/>
    </row>
    <row r="199" spans="1:9">
      <c r="A199" s="436"/>
      <c r="B199" s="520" t="s">
        <v>2687</v>
      </c>
      <c r="D199" s="1285" t="s">
        <v>2009</v>
      </c>
      <c r="E199" s="1285"/>
      <c r="F199" s="1285"/>
      <c r="I199" s="436" t="s">
        <v>2210</v>
      </c>
    </row>
    <row r="200" spans="1:9">
      <c r="A200" s="436"/>
      <c r="B200" s="436"/>
      <c r="D200" s="1281" t="s">
        <v>2282</v>
      </c>
      <c r="E200" s="1281"/>
      <c r="F200" s="1281"/>
    </row>
    <row r="201" spans="1:9">
      <c r="A201" s="436"/>
      <c r="B201" s="436"/>
      <c r="D201" s="57" t="s">
        <v>2010</v>
      </c>
      <c r="E201" s="1332" t="s">
        <v>2306</v>
      </c>
      <c r="F201" s="1332"/>
    </row>
    <row r="202" spans="1:9">
      <c r="A202" s="436"/>
      <c r="B202" s="436"/>
      <c r="D202" s="3"/>
      <c r="E202" s="3"/>
      <c r="F202" s="3"/>
    </row>
    <row r="203" spans="1:9">
      <c r="A203" s="436"/>
      <c r="B203" s="520" t="s">
        <v>2687</v>
      </c>
      <c r="D203" s="1285" t="s">
        <v>2011</v>
      </c>
      <c r="E203" s="1285"/>
      <c r="F203" s="1285"/>
      <c r="I203" s="436" t="s">
        <v>2211</v>
      </c>
    </row>
    <row r="204" spans="1:9">
      <c r="A204" s="436"/>
      <c r="B204" s="436"/>
      <c r="D204" s="1281" t="s">
        <v>2282</v>
      </c>
      <c r="E204" s="1281"/>
      <c r="F204" s="1281"/>
    </row>
    <row r="205" spans="1:9">
      <c r="A205" s="436"/>
      <c r="B205" s="436"/>
      <c r="D205" s="57" t="s">
        <v>2008</v>
      </c>
      <c r="E205" s="1332" t="s">
        <v>2307</v>
      </c>
      <c r="F205" s="1332"/>
    </row>
    <row r="206" spans="1:9">
      <c r="A206" s="436"/>
      <c r="B206" s="436"/>
      <c r="D206" s="424"/>
      <c r="E206" s="424"/>
      <c r="F206" s="424"/>
    </row>
    <row r="207" spans="1:9" ht="14.25" customHeight="1">
      <c r="A207" s="519"/>
      <c r="B207" s="520" t="s">
        <v>2687</v>
      </c>
      <c r="D207" s="418" t="s">
        <v>2275</v>
      </c>
      <c r="E207" s="417"/>
      <c r="F207" s="417"/>
      <c r="I207" s="436" t="s">
        <v>2212</v>
      </c>
    </row>
    <row r="208" spans="1:9" ht="14.4">
      <c r="A208" s="519"/>
      <c r="B208" s="519"/>
      <c r="D208" s="1281" t="s">
        <v>2282</v>
      </c>
      <c r="E208" s="1281"/>
      <c r="F208" s="1281"/>
    </row>
    <row r="209" spans="1:9">
      <c r="D209" s="417"/>
      <c r="E209" s="1332" t="s">
        <v>2308</v>
      </c>
      <c r="F209" s="1332"/>
    </row>
    <row r="210" spans="1:9">
      <c r="D210" s="482"/>
    </row>
    <row r="211" spans="1:9">
      <c r="B211" s="520" t="s">
        <v>2687</v>
      </c>
      <c r="D211" s="1285" t="s">
        <v>2012</v>
      </c>
      <c r="E211" s="1285"/>
      <c r="F211" s="1285"/>
      <c r="I211" s="436" t="s">
        <v>2213</v>
      </c>
    </row>
    <row r="212" spans="1:9">
      <c r="D212" s="1281" t="s">
        <v>2282</v>
      </c>
      <c r="E212" s="1281"/>
      <c r="F212" s="1281"/>
    </row>
    <row r="213" spans="1:9">
      <c r="D213" s="57" t="s">
        <v>2008</v>
      </c>
      <c r="E213" s="1332" t="s">
        <v>2309</v>
      </c>
      <c r="F213" s="1332"/>
    </row>
    <row r="214" spans="1:9">
      <c r="D214" s="486"/>
      <c r="E214" s="486"/>
      <c r="F214" s="486"/>
    </row>
    <row r="215" spans="1:9" ht="14.4">
      <c r="A215" s="519"/>
      <c r="B215" s="520" t="s">
        <v>2687</v>
      </c>
      <c r="D215" s="1276" t="s">
        <v>1358</v>
      </c>
      <c r="E215" s="1276"/>
      <c r="F215" s="1276"/>
    </row>
    <row r="216" spans="1:9" ht="14.4" customHeight="1">
      <c r="A216" s="519"/>
      <c r="B216" s="434"/>
      <c r="D216" s="1276"/>
      <c r="E216" s="1276"/>
      <c r="F216" s="1276"/>
    </row>
    <row r="217" spans="1:9" ht="14.4">
      <c r="A217" s="519"/>
      <c r="D217" s="1276"/>
      <c r="E217" s="1276"/>
      <c r="F217" s="1276"/>
    </row>
    <row r="218" spans="1:9" ht="14.4">
      <c r="A218" s="519"/>
      <c r="D218" s="1276"/>
      <c r="E218" s="1276"/>
      <c r="F218" s="1276"/>
    </row>
    <row r="219" spans="1:9">
      <c r="D219" s="486"/>
      <c r="E219" s="486"/>
      <c r="F219" s="486"/>
    </row>
    <row r="220" spans="1:9">
      <c r="A220" s="1282" t="s">
        <v>1110</v>
      </c>
      <c r="B220" s="1282"/>
      <c r="C220" s="1282"/>
      <c r="D220" s="1282"/>
      <c r="E220" s="1282"/>
      <c r="F220" s="1282"/>
      <c r="G220" s="1282"/>
      <c r="H220" s="1071"/>
      <c r="I220" s="1072"/>
    </row>
    <row r="221" spans="1:9" ht="12" customHeight="1">
      <c r="D221" s="481"/>
      <c r="E221" s="481"/>
      <c r="F221" s="481"/>
    </row>
    <row r="222" spans="1:9">
      <c r="C222" s="521"/>
      <c r="D222" s="1274" t="s">
        <v>210</v>
      </c>
      <c r="E222" s="1274"/>
      <c r="F222" s="1274"/>
    </row>
    <row r="223" spans="1:9">
      <c r="A223" s="517"/>
      <c r="B223" s="517"/>
      <c r="C223" s="517"/>
      <c r="D223" s="1305" t="s">
        <v>1239</v>
      </c>
      <c r="E223" s="1305"/>
      <c r="F223" s="1305"/>
    </row>
    <row r="224" spans="1:9" ht="12" customHeight="1">
      <c r="A224" s="525"/>
      <c r="B224" s="525"/>
      <c r="C224" s="525"/>
    </row>
    <row r="225" spans="1:9" ht="13.65" customHeight="1">
      <c r="A225" s="525"/>
      <c r="C225" s="525"/>
      <c r="D225" s="1274" t="s">
        <v>556</v>
      </c>
      <c r="E225" s="1274"/>
      <c r="F225" s="1274"/>
      <c r="I225" s="436" t="s">
        <v>2161</v>
      </c>
    </row>
    <row r="226" spans="1:9" ht="14.4">
      <c r="A226" s="519"/>
      <c r="B226" s="520" t="s">
        <v>2688</v>
      </c>
      <c r="D226" s="1276" t="s">
        <v>2013</v>
      </c>
      <c r="E226" s="1276"/>
      <c r="F226" s="1276"/>
    </row>
    <row r="227" spans="1:9" ht="14.25" customHeight="1">
      <c r="A227" s="519"/>
      <c r="B227" s="519"/>
      <c r="D227" s="1276"/>
      <c r="E227" s="1276"/>
      <c r="F227" s="1276"/>
    </row>
    <row r="228" spans="1:9" ht="14.25" customHeight="1">
      <c r="A228" s="519"/>
      <c r="B228" s="519"/>
      <c r="D228" s="1276"/>
      <c r="E228" s="1276"/>
      <c r="F228" s="1276"/>
    </row>
    <row r="229" spans="1:9" ht="14.4">
      <c r="A229" s="519"/>
      <c r="B229" s="519"/>
      <c r="D229" s="1276"/>
      <c r="E229" s="1276"/>
      <c r="F229" s="1276"/>
    </row>
    <row r="230" spans="1:9" ht="14.4">
      <c r="A230" s="519"/>
      <c r="B230" s="519"/>
      <c r="D230" s="480"/>
      <c r="E230" s="480"/>
      <c r="F230" s="480"/>
    </row>
    <row r="231" spans="1:9" ht="14.4">
      <c r="A231" s="519"/>
      <c r="B231" s="520" t="s">
        <v>2688</v>
      </c>
      <c r="D231" s="1276" t="s">
        <v>2014</v>
      </c>
      <c r="E231" s="1276"/>
      <c r="F231" s="1276"/>
      <c r="I231" s="436" t="s">
        <v>2162</v>
      </c>
    </row>
    <row r="232" spans="1:9" ht="14.4">
      <c r="A232" s="519"/>
      <c r="B232" s="519"/>
      <c r="D232" s="1276"/>
      <c r="E232" s="1276"/>
      <c r="F232" s="1276"/>
    </row>
    <row r="233" spans="1:9" ht="14.4">
      <c r="A233" s="519"/>
      <c r="B233" s="519"/>
      <c r="D233" s="1276"/>
      <c r="E233" s="1276"/>
      <c r="F233" s="1276"/>
    </row>
    <row r="234" spans="1:9" ht="14.4">
      <c r="A234" s="519"/>
      <c r="B234" s="519"/>
      <c r="D234" s="1276"/>
      <c r="E234" s="1276"/>
      <c r="F234" s="1276"/>
    </row>
    <row r="235" spans="1:9" ht="14.25" customHeight="1">
      <c r="A235" s="519"/>
      <c r="B235" s="519"/>
      <c r="D235" s="1276"/>
      <c r="E235" s="1276"/>
      <c r="F235" s="1276"/>
    </row>
    <row r="236" spans="1:9" ht="14.25" customHeight="1">
      <c r="A236" s="519"/>
      <c r="B236" s="519"/>
      <c r="D236" s="480"/>
      <c r="E236" s="480"/>
      <c r="F236" s="480"/>
    </row>
    <row r="237" spans="1:9" ht="14.4">
      <c r="A237" s="519"/>
      <c r="B237" s="519"/>
      <c r="D237" s="1276" t="s">
        <v>1235</v>
      </c>
      <c r="E237" s="1276"/>
      <c r="F237" s="1276"/>
      <c r="I237" s="436" t="s">
        <v>2161</v>
      </c>
    </row>
    <row r="238" spans="1:9" ht="14.4">
      <c r="A238" s="519"/>
      <c r="B238" s="519"/>
      <c r="D238" s="1276"/>
      <c r="E238" s="1276"/>
      <c r="F238" s="1276"/>
    </row>
    <row r="239" spans="1:9" ht="14.4">
      <c r="A239" s="519"/>
      <c r="B239" s="519"/>
      <c r="D239" s="1276"/>
      <c r="E239" s="1276"/>
      <c r="F239" s="1276"/>
    </row>
    <row r="240" spans="1:9" ht="14.4">
      <c r="A240" s="519"/>
      <c r="B240" s="519"/>
      <c r="D240" s="1276"/>
      <c r="E240" s="1276"/>
      <c r="F240" s="1276"/>
    </row>
    <row r="241" spans="1:9" ht="14.4">
      <c r="A241" s="519"/>
      <c r="B241" s="519"/>
      <c r="D241" s="1276"/>
      <c r="E241" s="1276"/>
      <c r="F241" s="1276"/>
    </row>
    <row r="242" spans="1:9" ht="14.4">
      <c r="A242" s="519"/>
      <c r="B242" s="519"/>
      <c r="D242" s="481"/>
      <c r="E242" s="481"/>
      <c r="F242" s="481"/>
    </row>
    <row r="243" spans="1:9" ht="14.4">
      <c r="A243" s="519"/>
      <c r="B243" s="520" t="s">
        <v>2687</v>
      </c>
      <c r="D243" s="1276" t="s">
        <v>2447</v>
      </c>
      <c r="E243" s="1276"/>
      <c r="F243" s="1276"/>
      <c r="I243" s="436" t="s">
        <v>2200</v>
      </c>
    </row>
    <row r="244" spans="1:9" ht="14.4">
      <c r="A244" s="519"/>
      <c r="B244" s="519"/>
      <c r="D244" s="1276"/>
      <c r="E244" s="1276"/>
      <c r="F244" s="1276"/>
    </row>
    <row r="245" spans="1:9" ht="14.4">
      <c r="A245" s="519"/>
      <c r="B245" s="519"/>
      <c r="D245" s="1276"/>
      <c r="E245" s="1276"/>
      <c r="F245" s="1276"/>
    </row>
    <row r="246" spans="1:9" ht="14.4">
      <c r="A246" s="519"/>
      <c r="B246" s="519"/>
      <c r="E246" s="1080" t="s">
        <v>2276</v>
      </c>
    </row>
    <row r="247" spans="1:9" ht="14.4">
      <c r="A247" s="519"/>
      <c r="B247" s="519"/>
      <c r="D247" s="481"/>
      <c r="E247" s="481"/>
      <c r="F247" s="481"/>
    </row>
    <row r="248" spans="1:9" ht="14.4" customHeight="1">
      <c r="A248" s="519"/>
      <c r="B248" s="520" t="s">
        <v>2687</v>
      </c>
      <c r="D248" s="1276" t="s">
        <v>2448</v>
      </c>
      <c r="E248" s="1276"/>
      <c r="F248" s="1276"/>
      <c r="I248" s="436" t="s">
        <v>2218</v>
      </c>
    </row>
    <row r="249" spans="1:9" ht="14.4">
      <c r="A249" s="519"/>
      <c r="B249" s="519"/>
      <c r="D249" s="1276"/>
      <c r="E249" s="1276"/>
      <c r="F249" s="1276"/>
    </row>
    <row r="250" spans="1:9" ht="14.4">
      <c r="A250" s="519"/>
      <c r="B250" s="519"/>
      <c r="D250" s="1276"/>
      <c r="E250" s="1276"/>
      <c r="F250" s="1276"/>
    </row>
    <row r="251" spans="1:9" ht="14.4">
      <c r="A251" s="519"/>
      <c r="B251" s="519"/>
      <c r="D251" s="1276"/>
      <c r="E251" s="1276"/>
      <c r="F251" s="1276"/>
    </row>
    <row r="252" spans="1:9" ht="14.4">
      <c r="A252" s="519"/>
      <c r="B252" s="519"/>
      <c r="D252" s="1276"/>
      <c r="E252" s="1276"/>
      <c r="F252" s="1276"/>
    </row>
    <row r="253" spans="1:9" ht="14.4">
      <c r="A253" s="519"/>
      <c r="B253" s="519"/>
      <c r="D253" s="480"/>
      <c r="E253" s="480"/>
      <c r="F253" s="480"/>
    </row>
    <row r="254" spans="1:9" ht="14.4">
      <c r="A254" s="519"/>
      <c r="B254" s="520" t="s">
        <v>2688</v>
      </c>
      <c r="D254" s="424" t="s">
        <v>2449</v>
      </c>
      <c r="E254" s="480"/>
      <c r="F254" s="480"/>
      <c r="I254" s="436" t="s">
        <v>2199</v>
      </c>
    </row>
    <row r="255" spans="1:9" ht="14.4">
      <c r="A255" s="519"/>
      <c r="B255" s="519"/>
      <c r="E255" s="1080" t="s">
        <v>2277</v>
      </c>
    </row>
    <row r="256" spans="1:9">
      <c r="D256" s="481"/>
      <c r="E256" s="481"/>
      <c r="F256" s="481"/>
    </row>
    <row r="257" spans="1:9" ht="14.4">
      <c r="A257" s="519"/>
      <c r="B257" s="520" t="s">
        <v>2688</v>
      </c>
      <c r="D257" s="1276" t="s">
        <v>1237</v>
      </c>
      <c r="E257" s="1276"/>
      <c r="F257" s="1276"/>
    </row>
    <row r="258" spans="1:9" ht="14.4">
      <c r="A258" s="519"/>
      <c r="B258" s="519"/>
      <c r="D258" s="1276"/>
      <c r="E258" s="1276"/>
      <c r="F258" s="1276"/>
    </row>
    <row r="259" spans="1:9">
      <c r="D259" s="526"/>
    </row>
    <row r="260" spans="1:9">
      <c r="A260" s="1282" t="s">
        <v>1111</v>
      </c>
      <c r="B260" s="1282"/>
      <c r="C260" s="1282"/>
      <c r="D260" s="1282"/>
      <c r="E260" s="1282"/>
      <c r="F260" s="1282"/>
      <c r="G260" s="1282"/>
      <c r="H260" s="1071"/>
      <c r="I260" s="1072"/>
    </row>
    <row r="261" spans="1:9">
      <c r="D261" s="526"/>
    </row>
    <row r="262" spans="1:9">
      <c r="C262" s="521"/>
      <c r="D262" s="1274" t="s">
        <v>1240</v>
      </c>
      <c r="E262" s="1274"/>
      <c r="F262" s="1274"/>
    </row>
    <row r="263" spans="1:9">
      <c r="A263" s="517"/>
      <c r="B263" s="517"/>
      <c r="C263" s="517"/>
      <c r="D263" s="481"/>
      <c r="E263" s="481"/>
      <c r="F263" s="481"/>
    </row>
    <row r="264" spans="1:9">
      <c r="A264" s="518"/>
      <c r="B264" s="518"/>
      <c r="C264" s="518"/>
      <c r="D264" s="1274" t="s">
        <v>271</v>
      </c>
      <c r="E264" s="1274"/>
      <c r="F264" s="1274"/>
      <c r="I264" s="436" t="s">
        <v>2201</v>
      </c>
    </row>
    <row r="265" spans="1:9" ht="14.4" customHeight="1">
      <c r="A265" s="519"/>
      <c r="B265" s="520" t="s">
        <v>2687</v>
      </c>
      <c r="D265" s="1276" t="s">
        <v>1338</v>
      </c>
      <c r="E265" s="1276"/>
      <c r="F265" s="1276"/>
    </row>
    <row r="266" spans="1:9">
      <c r="D266" s="1276"/>
      <c r="E266" s="1276"/>
      <c r="F266" s="1276"/>
    </row>
    <row r="267" spans="1:9">
      <c r="E267" s="1080" t="s">
        <v>2278</v>
      </c>
    </row>
    <row r="268" spans="1:9">
      <c r="D268" s="481"/>
      <c r="E268" s="481"/>
      <c r="F268" s="481"/>
    </row>
    <row r="269" spans="1:9" ht="14.4" customHeight="1">
      <c r="A269" s="519"/>
      <c r="B269" s="520" t="s">
        <v>2687</v>
      </c>
      <c r="D269" s="1276" t="s">
        <v>2450</v>
      </c>
      <c r="E269" s="1276"/>
      <c r="F269" s="1276"/>
      <c r="I269" s="436" t="s">
        <v>2219</v>
      </c>
    </row>
    <row r="270" spans="1:9">
      <c r="D270" s="1276"/>
      <c r="E270" s="1276"/>
      <c r="F270" s="1276"/>
    </row>
    <row r="271" spans="1:9">
      <c r="D271" s="1276"/>
      <c r="E271" s="1276"/>
      <c r="F271" s="1276"/>
    </row>
    <row r="272" spans="1:9">
      <c r="D272" s="1276"/>
      <c r="E272" s="1276"/>
      <c r="F272" s="1276"/>
    </row>
    <row r="273" spans="1:9">
      <c r="D273" s="1276"/>
      <c r="E273" s="1276"/>
      <c r="F273" s="1276"/>
    </row>
    <row r="274" spans="1:9">
      <c r="D274" s="1276"/>
      <c r="E274" s="1276"/>
      <c r="F274" s="1276"/>
    </row>
    <row r="275" spans="1:9">
      <c r="D275" s="481"/>
      <c r="E275" s="481"/>
      <c r="F275" s="481"/>
    </row>
    <row r="276" spans="1:9" ht="14.4">
      <c r="A276" s="519"/>
      <c r="B276" s="520" t="s">
        <v>2687</v>
      </c>
      <c r="D276" s="1276" t="s">
        <v>1243</v>
      </c>
      <c r="E276" s="1276"/>
      <c r="F276" s="1276"/>
    </row>
    <row r="277" spans="1:9">
      <c r="D277" s="1276"/>
      <c r="E277" s="1276"/>
      <c r="F277" s="1276"/>
    </row>
    <row r="278" spans="1:9">
      <c r="D278" s="1276"/>
      <c r="E278" s="1276"/>
      <c r="F278" s="1276"/>
    </row>
    <row r="279" spans="1:9">
      <c r="D279" s="527"/>
      <c r="E279" s="481"/>
      <c r="F279" s="481"/>
    </row>
    <row r="280" spans="1:9">
      <c r="A280" s="1282" t="s">
        <v>1112</v>
      </c>
      <c r="B280" s="1282"/>
      <c r="C280" s="1282"/>
      <c r="D280" s="1282"/>
      <c r="E280" s="1282"/>
      <c r="F280" s="1282"/>
      <c r="G280" s="1282"/>
      <c r="H280" s="1071"/>
      <c r="I280" s="1072"/>
    </row>
    <row r="281" spans="1:9">
      <c r="D281" s="527"/>
      <c r="E281" s="481"/>
      <c r="F281" s="481"/>
    </row>
    <row r="282" spans="1:9">
      <c r="C282" s="517"/>
      <c r="D282" s="1304" t="s">
        <v>1245</v>
      </c>
      <c r="E282" s="1304"/>
      <c r="F282" s="1304"/>
    </row>
    <row r="283" spans="1:9">
      <c r="C283" s="517"/>
      <c r="D283" s="1304"/>
      <c r="E283" s="1304"/>
      <c r="F283" s="1304"/>
    </row>
    <row r="284" spans="1:9">
      <c r="A284" s="518"/>
      <c r="B284" s="518"/>
      <c r="C284" s="518"/>
      <c r="D284" s="436"/>
    </row>
    <row r="285" spans="1:9">
      <c r="C285" s="518"/>
      <c r="D285" s="1274" t="s">
        <v>211</v>
      </c>
      <c r="E285" s="1274"/>
      <c r="F285" s="1274"/>
    </row>
    <row r="286" spans="1:9" ht="15.75" customHeight="1">
      <c r="A286" s="519"/>
      <c r="B286" s="519"/>
      <c r="D286" s="1329" t="s">
        <v>1246</v>
      </c>
      <c r="E286" s="1329"/>
      <c r="F286" s="1329"/>
    </row>
    <row r="287" spans="1:9">
      <c r="E287" s="481"/>
      <c r="F287" s="481"/>
    </row>
    <row r="288" spans="1:9" ht="14.4">
      <c r="A288" s="519"/>
      <c r="B288" s="520" t="s">
        <v>2687</v>
      </c>
      <c r="D288" s="1276" t="s">
        <v>1247</v>
      </c>
      <c r="E288" s="1276"/>
      <c r="F288" s="1276"/>
      <c r="I288" s="436" t="s">
        <v>2163</v>
      </c>
    </row>
    <row r="289" spans="1:9" ht="14.4">
      <c r="A289" s="519"/>
      <c r="B289" s="519"/>
      <c r="D289" s="1276"/>
      <c r="E289" s="1276"/>
      <c r="F289" s="1276"/>
    </row>
    <row r="290" spans="1:9">
      <c r="D290" s="481"/>
      <c r="E290" s="481"/>
      <c r="F290" s="481"/>
    </row>
    <row r="291" spans="1:9" ht="14.4">
      <c r="A291" s="519"/>
      <c r="B291" s="520" t="s">
        <v>2687</v>
      </c>
      <c r="D291" s="1276" t="s">
        <v>1248</v>
      </c>
      <c r="E291" s="1276"/>
      <c r="F291" s="1276"/>
      <c r="I291" s="436" t="s">
        <v>2163</v>
      </c>
    </row>
    <row r="292" spans="1:9" ht="14.4">
      <c r="A292" s="519"/>
      <c r="B292" s="519"/>
      <c r="D292" s="1276"/>
      <c r="E292" s="1276"/>
      <c r="F292" s="1276"/>
    </row>
    <row r="293" spans="1:9" ht="14.4">
      <c r="A293" s="519"/>
      <c r="B293" s="519"/>
      <c r="D293" s="1276"/>
      <c r="E293" s="1276"/>
      <c r="F293" s="1276"/>
    </row>
    <row r="294" spans="1:9">
      <c r="D294" s="481"/>
      <c r="E294" s="481"/>
      <c r="F294" s="481"/>
    </row>
    <row r="295" spans="1:9" ht="14.4">
      <c r="A295" s="519"/>
      <c r="B295" s="520" t="s">
        <v>2687</v>
      </c>
      <c r="D295" s="1276" t="s">
        <v>1249</v>
      </c>
      <c r="E295" s="1276"/>
      <c r="F295" s="1276"/>
      <c r="I295" s="436" t="s">
        <v>2163</v>
      </c>
    </row>
    <row r="296" spans="1:9" ht="14.4">
      <c r="A296" s="519"/>
      <c r="B296" s="519"/>
      <c r="D296" s="1276"/>
      <c r="E296" s="1276"/>
      <c r="F296" s="1276"/>
    </row>
    <row r="297" spans="1:9">
      <c r="A297" s="525"/>
      <c r="B297" s="525"/>
      <c r="E297" s="481"/>
      <c r="F297" s="481"/>
    </row>
    <row r="298" spans="1:9">
      <c r="A298" s="1282" t="s">
        <v>1113</v>
      </c>
      <c r="B298" s="1282"/>
      <c r="C298" s="1282"/>
      <c r="D298" s="1282"/>
      <c r="E298" s="1282"/>
      <c r="F298" s="1282"/>
      <c r="G298" s="1282"/>
      <c r="H298" s="1071"/>
      <c r="I298" s="1072"/>
    </row>
    <row r="299" spans="1:9">
      <c r="A299" s="525"/>
      <c r="B299" s="525"/>
      <c r="D299" s="481"/>
      <c r="E299" s="481"/>
      <c r="F299" s="481"/>
    </row>
    <row r="300" spans="1:9">
      <c r="C300" s="525"/>
      <c r="D300" s="1274" t="s">
        <v>692</v>
      </c>
      <c r="E300" s="1274"/>
      <c r="F300" s="1274"/>
    </row>
    <row r="301" spans="1:9">
      <c r="C301" s="525"/>
      <c r="D301" s="1305" t="s">
        <v>1250</v>
      </c>
      <c r="E301" s="1305"/>
      <c r="F301" s="1305"/>
    </row>
    <row r="302" spans="1:9">
      <c r="C302" s="525"/>
      <c r="D302" s="528"/>
    </row>
    <row r="303" spans="1:9">
      <c r="B303" s="520" t="s">
        <v>2687</v>
      </c>
      <c r="D303" s="1305" t="s">
        <v>1251</v>
      </c>
      <c r="E303" s="1305"/>
      <c r="F303" s="1305"/>
      <c r="I303" s="436" t="s">
        <v>2164</v>
      </c>
    </row>
    <row r="304" spans="1:9" ht="14.4">
      <c r="A304" s="519"/>
      <c r="B304" s="519"/>
      <c r="D304" s="529"/>
      <c r="E304" s="530"/>
      <c r="F304" s="530"/>
    </row>
    <row r="305" spans="1:9" ht="13.65" customHeight="1">
      <c r="B305" s="520" t="s">
        <v>2687</v>
      </c>
      <c r="D305" s="1326" t="s">
        <v>1362</v>
      </c>
      <c r="E305" s="1326"/>
      <c r="F305" s="1326"/>
      <c r="I305" s="436" t="s">
        <v>2164</v>
      </c>
    </row>
    <row r="306" spans="1:9" ht="14.4">
      <c r="A306" s="519"/>
      <c r="B306" s="519"/>
      <c r="D306" s="1326"/>
      <c r="E306" s="1326"/>
      <c r="F306" s="1326"/>
    </row>
    <row r="307" spans="1:9" ht="14.4">
      <c r="A307" s="519"/>
      <c r="B307" s="519"/>
      <c r="D307" s="1326"/>
      <c r="E307" s="1326"/>
      <c r="F307" s="1326"/>
    </row>
    <row r="308" spans="1:9" ht="14.4">
      <c r="A308" s="519"/>
      <c r="B308" s="519"/>
      <c r="D308" s="1326"/>
      <c r="E308" s="1326"/>
      <c r="F308" s="1326"/>
    </row>
    <row r="309" spans="1:9" ht="14.4">
      <c r="A309" s="519"/>
      <c r="B309" s="519"/>
      <c r="D309" s="1326"/>
      <c r="E309" s="1326"/>
      <c r="F309" s="1326"/>
    </row>
    <row r="310" spans="1:9" ht="14.4">
      <c r="A310" s="519"/>
      <c r="B310" s="519"/>
      <c r="D310" s="529"/>
      <c r="E310" s="530"/>
      <c r="F310" s="530"/>
    </row>
    <row r="311" spans="1:9" ht="13.65" customHeight="1">
      <c r="B311" s="520" t="s">
        <v>2687</v>
      </c>
      <c r="D311" s="1326" t="s">
        <v>1253</v>
      </c>
      <c r="E311" s="1326"/>
      <c r="F311" s="1326"/>
      <c r="I311" s="436" t="s">
        <v>2164</v>
      </c>
    </row>
    <row r="312" spans="1:9">
      <c r="D312" s="1326"/>
      <c r="E312" s="1326"/>
      <c r="F312" s="1326"/>
    </row>
    <row r="313" spans="1:9" ht="14.4">
      <c r="A313" s="519"/>
      <c r="B313" s="519"/>
      <c r="D313" s="529"/>
      <c r="E313" s="530"/>
      <c r="F313" s="530"/>
    </row>
    <row r="314" spans="1:9">
      <c r="B314" s="520" t="s">
        <v>2687</v>
      </c>
      <c r="D314" s="1305" t="s">
        <v>1254</v>
      </c>
      <c r="E314" s="1305"/>
      <c r="F314" s="1305"/>
      <c r="I314" s="436" t="s">
        <v>2150</v>
      </c>
    </row>
    <row r="315" spans="1:9">
      <c r="E315" s="481"/>
      <c r="F315" s="481"/>
    </row>
    <row r="316" spans="1:9" ht="14.4">
      <c r="A316" s="519"/>
      <c r="B316" s="520" t="s">
        <v>2687</v>
      </c>
      <c r="D316" s="1276" t="s">
        <v>2469</v>
      </c>
      <c r="E316" s="1276"/>
      <c r="F316" s="1276"/>
      <c r="I316" s="436" t="s">
        <v>2165</v>
      </c>
    </row>
    <row r="317" spans="1:9" ht="14.4">
      <c r="A317" s="519"/>
      <c r="B317" s="519"/>
      <c r="D317" s="1276"/>
      <c r="E317" s="1276"/>
      <c r="F317" s="1276"/>
    </row>
    <row r="318" spans="1:9" ht="14.4">
      <c r="A318" s="519"/>
      <c r="B318" s="519"/>
      <c r="D318" s="1276"/>
      <c r="E318" s="1276"/>
      <c r="F318" s="1276"/>
    </row>
    <row r="319" spans="1:9" ht="14.4">
      <c r="A319" s="519"/>
      <c r="B319" s="519"/>
      <c r="D319" s="1276"/>
      <c r="E319" s="1276"/>
      <c r="F319" s="1276"/>
    </row>
    <row r="320" spans="1:9" ht="14.4">
      <c r="A320" s="519"/>
      <c r="B320" s="519"/>
      <c r="D320" s="1276"/>
      <c r="E320" s="1276"/>
      <c r="F320" s="1276"/>
    </row>
    <row r="321" spans="1:9" ht="14.4">
      <c r="A321" s="519"/>
      <c r="B321" s="519"/>
      <c r="D321" s="1276"/>
      <c r="E321" s="1276"/>
      <c r="F321" s="1276"/>
    </row>
    <row r="322" spans="1:9" ht="14.4">
      <c r="A322" s="519"/>
      <c r="B322" s="519"/>
      <c r="D322" s="1276"/>
      <c r="E322" s="1276"/>
      <c r="F322" s="1276"/>
    </row>
    <row r="323" spans="1:9" ht="14.4">
      <c r="A323" s="519"/>
      <c r="B323" s="519"/>
      <c r="D323" s="1276"/>
      <c r="E323" s="1276"/>
      <c r="F323" s="1276"/>
    </row>
    <row r="324" spans="1:9" ht="14.4">
      <c r="A324" s="519"/>
      <c r="B324" s="519"/>
      <c r="D324" s="1276"/>
      <c r="E324" s="1276"/>
      <c r="F324" s="1276"/>
    </row>
    <row r="325" spans="1:9" ht="14.4">
      <c r="A325" s="519"/>
      <c r="B325" s="519"/>
      <c r="D325" s="1276"/>
      <c r="E325" s="1276"/>
      <c r="F325" s="1276"/>
    </row>
    <row r="326" spans="1:9" ht="14.4">
      <c r="A326" s="519"/>
      <c r="B326" s="519"/>
      <c r="D326" s="1276"/>
      <c r="E326" s="1276"/>
      <c r="F326" s="1276"/>
    </row>
    <row r="327" spans="1:9" ht="14.4">
      <c r="A327" s="519"/>
      <c r="B327" s="519"/>
      <c r="D327" s="1276"/>
      <c r="E327" s="1276"/>
      <c r="F327" s="1276"/>
    </row>
    <row r="328" spans="1:9" ht="14.4">
      <c r="A328" s="519"/>
      <c r="B328" s="519"/>
      <c r="D328" s="1276"/>
      <c r="E328" s="1276"/>
      <c r="F328" s="1276"/>
    </row>
    <row r="329" spans="1:9" ht="14.4">
      <c r="A329" s="519"/>
      <c r="B329" s="519"/>
      <c r="D329" s="1276"/>
      <c r="E329" s="1276"/>
      <c r="F329" s="1276"/>
    </row>
    <row r="330" spans="1:9" ht="14.4">
      <c r="A330" s="519"/>
      <c r="B330" s="519"/>
      <c r="D330" s="1276"/>
      <c r="E330" s="1276"/>
      <c r="F330" s="1276"/>
    </row>
    <row r="331" spans="1:9">
      <c r="D331" s="481"/>
      <c r="E331" s="481"/>
      <c r="F331" s="481"/>
    </row>
    <row r="332" spans="1:9" ht="14.4">
      <c r="A332" s="519"/>
      <c r="B332" s="520" t="s">
        <v>2687</v>
      </c>
      <c r="D332" s="1276" t="s">
        <v>1256</v>
      </c>
      <c r="E332" s="1276"/>
      <c r="F332" s="1276"/>
      <c r="I332" s="436" t="s">
        <v>2165</v>
      </c>
    </row>
    <row r="333" spans="1:9">
      <c r="D333" s="1276"/>
      <c r="E333" s="1276"/>
      <c r="F333" s="1276"/>
    </row>
    <row r="334" spans="1:9">
      <c r="D334" s="1276"/>
      <c r="E334" s="1276"/>
      <c r="F334" s="1276"/>
    </row>
    <row r="335" spans="1:9">
      <c r="D335" s="1276"/>
      <c r="E335" s="1276"/>
      <c r="F335" s="1276"/>
    </row>
    <row r="336" spans="1:9">
      <c r="D336" s="1276"/>
      <c r="E336" s="1276"/>
      <c r="F336" s="1276"/>
    </row>
    <row r="337" spans="1:9">
      <c r="D337" s="1276"/>
      <c r="E337" s="1276"/>
      <c r="F337" s="1276"/>
    </row>
    <row r="338" spans="1:9">
      <c r="D338" s="1276"/>
      <c r="E338" s="1276"/>
      <c r="F338" s="1276"/>
    </row>
    <row r="339" spans="1:9">
      <c r="D339" s="1276"/>
      <c r="E339" s="1276"/>
      <c r="F339" s="1276"/>
    </row>
    <row r="340" spans="1:9">
      <c r="D340" s="1276"/>
      <c r="E340" s="1276"/>
      <c r="F340" s="1276"/>
    </row>
    <row r="341" spans="1:9">
      <c r="D341" s="481"/>
      <c r="E341" s="481"/>
      <c r="F341" s="481"/>
    </row>
    <row r="342" spans="1:9" ht="14.25" customHeight="1">
      <c r="A342" s="519"/>
      <c r="B342" s="520" t="s">
        <v>2687</v>
      </c>
      <c r="D342" s="1276" t="s">
        <v>2283</v>
      </c>
      <c r="E342" s="1276"/>
      <c r="F342" s="1276"/>
      <c r="I342" s="436" t="s">
        <v>2202</v>
      </c>
    </row>
    <row r="343" spans="1:9">
      <c r="D343" s="1276"/>
      <c r="E343" s="1276"/>
      <c r="F343" s="1276"/>
    </row>
    <row r="344" spans="1:9">
      <c r="D344" s="1276"/>
      <c r="E344" s="1276"/>
      <c r="F344" s="1276"/>
    </row>
    <row r="345" spans="1:9">
      <c r="D345" s="1276"/>
      <c r="E345" s="1276"/>
      <c r="F345" s="1276"/>
    </row>
    <row r="346" spans="1:9">
      <c r="D346" s="418" t="s">
        <v>2282</v>
      </c>
      <c r="E346" s="417"/>
      <c r="F346" s="417"/>
    </row>
    <row r="347" spans="1:9">
      <c r="D347" s="417"/>
      <c r="E347" s="96" t="s">
        <v>2279</v>
      </c>
      <c r="G347" s="96"/>
    </row>
    <row r="348" spans="1:9">
      <c r="D348" s="480"/>
      <c r="E348" s="480"/>
      <c r="F348" s="480"/>
    </row>
    <row r="349" spans="1:9" ht="13.8" thickBot="1">
      <c r="A349" s="1059"/>
      <c r="B349" s="1059"/>
      <c r="C349" s="1059"/>
      <c r="D349" s="1337" t="s">
        <v>1018</v>
      </c>
      <c r="E349" s="1337"/>
      <c r="F349" s="1337"/>
      <c r="G349" s="1069"/>
      <c r="H349" s="1069"/>
      <c r="I349" s="1070"/>
    </row>
    <row r="350" spans="1:9" ht="13.8" thickTop="1">
      <c r="D350" s="1327" t="s">
        <v>1258</v>
      </c>
      <c r="E350" s="1327"/>
      <c r="F350" s="1327"/>
    </row>
    <row r="351" spans="1:9">
      <c r="D351" s="481"/>
      <c r="E351" s="481"/>
      <c r="F351" s="481"/>
    </row>
    <row r="352" spans="1:9">
      <c r="A352" s="511"/>
      <c r="B352" s="511"/>
      <c r="C352" s="511"/>
      <c r="D352" s="482"/>
      <c r="E352" s="482"/>
      <c r="F352" s="481"/>
      <c r="I352" s="436" t="s">
        <v>2166</v>
      </c>
    </row>
    <row r="353" spans="1:9" ht="14.4">
      <c r="A353" s="519"/>
      <c r="B353" s="520" t="s">
        <v>2687</v>
      </c>
      <c r="C353" s="522"/>
      <c r="D353" s="1305" t="s">
        <v>2281</v>
      </c>
      <c r="E353" s="1305"/>
      <c r="F353" s="1305"/>
      <c r="I353" s="1323" t="s">
        <v>2216</v>
      </c>
    </row>
    <row r="354" spans="1:9" ht="12.75" customHeight="1">
      <c r="D354" s="1081"/>
      <c r="E354" s="96" t="s">
        <v>2280</v>
      </c>
      <c r="F354" s="1081"/>
      <c r="I354" s="1324"/>
    </row>
    <row r="355" spans="1:9">
      <c r="D355" s="1276" t="s">
        <v>1385</v>
      </c>
      <c r="E355" s="1276"/>
      <c r="F355" s="1276"/>
      <c r="I355" s="1324"/>
    </row>
    <row r="356" spans="1:9">
      <c r="D356" s="1276"/>
      <c r="E356" s="1276"/>
      <c r="F356" s="1276"/>
      <c r="I356" s="1324"/>
    </row>
    <row r="357" spans="1:9">
      <c r="D357" s="1276"/>
      <c r="E357" s="1276"/>
      <c r="F357" s="1276"/>
      <c r="I357" s="1325"/>
    </row>
    <row r="358" spans="1:9" ht="14.4">
      <c r="A358" s="519"/>
      <c r="B358" s="520" t="s">
        <v>2687</v>
      </c>
      <c r="C358" s="511"/>
      <c r="D358" s="1309" t="s">
        <v>2451</v>
      </c>
      <c r="E358" s="1309"/>
      <c r="F358" s="1309"/>
      <c r="I358" s="434"/>
    </row>
    <row r="359" spans="1:9">
      <c r="A359" s="511"/>
      <c r="B359" s="511"/>
      <c r="C359" s="511"/>
      <c r="D359" s="482"/>
      <c r="E359" s="482"/>
      <c r="F359" s="481"/>
    </row>
    <row r="360" spans="1:9">
      <c r="A360" s="511"/>
      <c r="B360" s="520" t="s">
        <v>2687</v>
      </c>
      <c r="C360" s="511"/>
      <c r="D360" s="1264" t="s">
        <v>2452</v>
      </c>
      <c r="E360" s="1264"/>
      <c r="F360" s="1264"/>
    </row>
    <row r="361" spans="1:9">
      <c r="A361" s="511"/>
      <c r="B361" s="511"/>
      <c r="C361" s="511"/>
      <c r="D361" s="1264"/>
      <c r="E361" s="1264"/>
      <c r="F361" s="1264"/>
    </row>
    <row r="362" spans="1:9">
      <c r="A362" s="511"/>
      <c r="B362" s="511"/>
      <c r="C362" s="511"/>
      <c r="D362" s="1264"/>
      <c r="E362" s="1264"/>
      <c r="F362" s="1264"/>
    </row>
    <row r="363" spans="1:9">
      <c r="A363" s="511"/>
      <c r="B363" s="511"/>
      <c r="C363" s="511"/>
      <c r="D363" s="1264"/>
      <c r="E363" s="1264"/>
      <c r="F363" s="1264"/>
    </row>
    <row r="364" spans="1:9">
      <c r="A364" s="511"/>
      <c r="B364" s="511"/>
      <c r="C364" s="511"/>
      <c r="D364" s="1264"/>
      <c r="E364" s="1264"/>
      <c r="F364" s="1264"/>
    </row>
    <row r="365" spans="1:9">
      <c r="A365" s="511"/>
      <c r="B365" s="511"/>
      <c r="C365" s="511"/>
      <c r="D365" s="1264"/>
      <c r="E365" s="1264"/>
      <c r="F365" s="1264"/>
    </row>
    <row r="366" spans="1:9">
      <c r="A366" s="511"/>
      <c r="B366" s="511"/>
      <c r="C366" s="511"/>
      <c r="D366" s="1264"/>
      <c r="E366" s="1264"/>
      <c r="F366" s="1264"/>
    </row>
    <row r="367" spans="1:9">
      <c r="A367" s="511"/>
      <c r="B367" s="511"/>
      <c r="C367" s="511"/>
      <c r="D367" s="1264"/>
      <c r="E367" s="1264"/>
      <c r="F367" s="1264"/>
    </row>
    <row r="368" spans="1:9">
      <c r="A368" s="511"/>
      <c r="B368" s="511"/>
      <c r="C368" s="511"/>
      <c r="D368" s="1264"/>
      <c r="E368" s="1264"/>
      <c r="F368" s="1264"/>
    </row>
    <row r="369" spans="1:6">
      <c r="A369" s="511"/>
      <c r="B369" s="511"/>
      <c r="C369" s="511"/>
      <c r="D369" s="1264"/>
      <c r="E369" s="1264"/>
      <c r="F369" s="1264"/>
    </row>
    <row r="370" spans="1:6">
      <c r="A370" s="511"/>
      <c r="B370" s="511"/>
      <c r="C370" s="511"/>
      <c r="D370" s="1264"/>
      <c r="E370" s="1264"/>
      <c r="F370" s="1264"/>
    </row>
    <row r="371" spans="1:6">
      <c r="A371" s="511"/>
      <c r="B371" s="511"/>
      <c r="C371" s="511"/>
      <c r="D371" s="1264"/>
      <c r="E371" s="1264"/>
      <c r="F371" s="1264"/>
    </row>
    <row r="372" spans="1:6">
      <c r="A372" s="511"/>
      <c r="B372" s="511"/>
      <c r="C372" s="511"/>
      <c r="D372" s="486"/>
      <c r="E372" s="486"/>
      <c r="F372" s="486"/>
    </row>
    <row r="373" spans="1:6" ht="12.45" customHeight="1">
      <c r="A373" s="511"/>
      <c r="B373" s="520" t="s">
        <v>2687</v>
      </c>
      <c r="C373" s="511"/>
      <c r="D373" s="1320" t="s">
        <v>1365</v>
      </c>
      <c r="E373" s="1320"/>
      <c r="F373" s="1320"/>
    </row>
    <row r="374" spans="1:6">
      <c r="A374" s="511"/>
      <c r="B374" s="511"/>
      <c r="C374" s="511"/>
      <c r="D374" s="1320"/>
      <c r="E374" s="1320"/>
      <c r="F374" s="1320"/>
    </row>
    <row r="375" spans="1:6">
      <c r="A375" s="511"/>
      <c r="B375" s="511"/>
      <c r="C375" s="511"/>
      <c r="D375" s="1320"/>
      <c r="E375" s="1320"/>
      <c r="F375" s="1320"/>
    </row>
    <row r="376" spans="1:6">
      <c r="A376" s="511"/>
      <c r="B376" s="511"/>
      <c r="C376" s="511"/>
      <c r="D376" s="1320"/>
      <c r="E376" s="1320"/>
      <c r="F376" s="1320"/>
    </row>
    <row r="377" spans="1:6">
      <c r="A377" s="511"/>
      <c r="B377" s="511"/>
      <c r="C377" s="511"/>
      <c r="D377" s="559"/>
      <c r="E377" s="559"/>
      <c r="F377" s="559"/>
    </row>
    <row r="378" spans="1:6">
      <c r="A378" s="511"/>
      <c r="B378" s="520" t="s">
        <v>2687</v>
      </c>
      <c r="C378" s="511"/>
      <c r="D378" s="434" t="s">
        <v>2095</v>
      </c>
      <c r="E378" s="559"/>
      <c r="F378" s="559"/>
    </row>
    <row r="379" spans="1:6">
      <c r="A379" s="511"/>
      <c r="B379" s="511"/>
      <c r="C379" s="511"/>
      <c r="D379" s="434" t="s">
        <v>2096</v>
      </c>
      <c r="E379" s="559"/>
      <c r="F379" s="559"/>
    </row>
    <row r="380" spans="1:6">
      <c r="A380" s="511"/>
      <c r="B380" s="511"/>
      <c r="C380" s="511"/>
      <c r="D380" s="434" t="s">
        <v>2097</v>
      </c>
      <c r="E380" s="559"/>
      <c r="F380" s="559"/>
    </row>
    <row r="381" spans="1:6">
      <c r="A381" s="511"/>
      <c r="B381" s="511"/>
      <c r="C381" s="511"/>
      <c r="D381" s="434" t="s">
        <v>2098</v>
      </c>
      <c r="E381" s="559"/>
      <c r="F381" s="559"/>
    </row>
    <row r="382" spans="1:6">
      <c r="A382" s="511"/>
      <c r="B382" s="511"/>
      <c r="C382" s="511"/>
      <c r="D382" s="434" t="s">
        <v>2099</v>
      </c>
      <c r="E382" s="559"/>
      <c r="F382" s="559"/>
    </row>
    <row r="383" spans="1:6">
      <c r="A383" s="511"/>
      <c r="B383" s="511"/>
      <c r="C383" s="511"/>
      <c r="D383" s="434" t="s">
        <v>2100</v>
      </c>
      <c r="E383" s="559"/>
      <c r="F383" s="559"/>
    </row>
    <row r="384" spans="1:6">
      <c r="A384" s="511"/>
      <c r="B384" s="511"/>
      <c r="C384" s="511"/>
      <c r="E384" s="482"/>
      <c r="F384" s="481"/>
    </row>
    <row r="385" spans="1:6" ht="14.4">
      <c r="A385" s="519"/>
      <c r="B385" s="520" t="s">
        <v>2687</v>
      </c>
      <c r="C385" s="511"/>
      <c r="D385" s="1264" t="s">
        <v>1261</v>
      </c>
      <c r="E385" s="1264"/>
      <c r="F385" s="1264"/>
    </row>
    <row r="386" spans="1:6">
      <c r="A386" s="511"/>
      <c r="B386" s="511"/>
      <c r="C386" s="511"/>
      <c r="D386" s="1264"/>
      <c r="E386" s="1264"/>
      <c r="F386" s="1264"/>
    </row>
    <row r="387" spans="1:6">
      <c r="A387" s="511"/>
      <c r="B387" s="511"/>
      <c r="C387" s="511"/>
      <c r="D387" s="1264"/>
      <c r="E387" s="1264"/>
      <c r="F387" s="1264"/>
    </row>
    <row r="388" spans="1:6">
      <c r="A388" s="511"/>
      <c r="B388" s="511"/>
      <c r="C388" s="511"/>
      <c r="D388" s="1264"/>
      <c r="E388" s="1264"/>
      <c r="F388" s="1264"/>
    </row>
    <row r="389" spans="1:6">
      <c r="A389" s="511"/>
      <c r="B389" s="511"/>
      <c r="C389" s="511"/>
      <c r="D389" s="482"/>
      <c r="E389" s="482"/>
      <c r="F389" s="481"/>
    </row>
    <row r="390" spans="1:6">
      <c r="A390" s="511"/>
      <c r="B390" s="511"/>
      <c r="C390" s="511"/>
      <c r="D390" s="1264" t="s">
        <v>1262</v>
      </c>
      <c r="E390" s="1264"/>
      <c r="F390" s="1264"/>
    </row>
    <row r="391" spans="1:6">
      <c r="A391" s="511"/>
      <c r="B391" s="511"/>
      <c r="C391" s="511"/>
      <c r="D391" s="1264"/>
      <c r="E391" s="1264"/>
      <c r="F391" s="1264"/>
    </row>
    <row r="392" spans="1:6">
      <c r="A392" s="511"/>
      <c r="B392" s="511"/>
      <c r="C392" s="511"/>
      <c r="D392" s="1264"/>
      <c r="E392" s="1264"/>
      <c r="F392" s="1264"/>
    </row>
    <row r="393" spans="1:6">
      <c r="A393" s="511"/>
      <c r="B393" s="511"/>
      <c r="C393" s="511"/>
      <c r="D393" s="1264"/>
      <c r="E393" s="1264"/>
      <c r="F393" s="1264"/>
    </row>
    <row r="394" spans="1:6" ht="18" customHeight="1">
      <c r="A394" s="511"/>
      <c r="B394" s="511"/>
      <c r="C394" s="511"/>
      <c r="D394" s="1264"/>
      <c r="E394" s="1264"/>
      <c r="F394" s="1264"/>
    </row>
    <row r="395" spans="1:6">
      <c r="A395" s="511"/>
      <c r="B395" s="511"/>
      <c r="C395" s="511"/>
      <c r="D395" s="1264"/>
      <c r="E395" s="1264"/>
      <c r="F395" s="1264"/>
    </row>
    <row r="396" spans="1:6">
      <c r="A396" s="511"/>
      <c r="B396" s="511"/>
      <c r="C396" s="511"/>
      <c r="D396" s="1264"/>
      <c r="E396" s="1264"/>
      <c r="F396" s="1264"/>
    </row>
    <row r="397" spans="1:6">
      <c r="A397" s="511"/>
      <c r="B397" s="511"/>
      <c r="C397" s="511"/>
      <c r="D397" s="1264"/>
      <c r="E397" s="1264"/>
      <c r="F397" s="1264"/>
    </row>
    <row r="398" spans="1:6" ht="8.25" customHeight="1">
      <c r="A398" s="511"/>
      <c r="B398" s="511"/>
      <c r="C398" s="511"/>
      <c r="D398" s="1264"/>
      <c r="E398" s="1264"/>
      <c r="F398" s="1264"/>
    </row>
    <row r="399" spans="1:6" ht="13.65" customHeight="1">
      <c r="A399" s="511"/>
      <c r="B399" s="511"/>
      <c r="C399" s="511"/>
      <c r="D399" s="1264" t="s">
        <v>1263</v>
      </c>
      <c r="E399" s="1264"/>
      <c r="F399" s="1264"/>
    </row>
    <row r="400" spans="1:6">
      <c r="A400" s="511"/>
      <c r="B400" s="511"/>
      <c r="C400" s="511"/>
      <c r="D400" s="1264"/>
      <c r="E400" s="1264"/>
      <c r="F400" s="1264"/>
    </row>
    <row r="401" spans="1:6">
      <c r="A401" s="511"/>
      <c r="B401" s="511"/>
      <c r="C401" s="511"/>
      <c r="D401" s="1264"/>
      <c r="E401" s="1264"/>
      <c r="F401" s="1264"/>
    </row>
    <row r="402" spans="1:6">
      <c r="A402" s="511"/>
      <c r="B402" s="511"/>
      <c r="C402" s="511"/>
      <c r="D402" s="1264"/>
      <c r="E402" s="1264"/>
      <c r="F402" s="1264"/>
    </row>
    <row r="403" spans="1:6">
      <c r="A403" s="511"/>
      <c r="B403" s="511"/>
      <c r="C403" s="511"/>
      <c r="D403" s="1264"/>
      <c r="E403" s="1264"/>
      <c r="F403" s="1264"/>
    </row>
    <row r="404" spans="1:6">
      <c r="A404" s="511"/>
      <c r="B404" s="511"/>
      <c r="C404" s="511"/>
      <c r="D404" s="1264"/>
      <c r="E404" s="1264"/>
      <c r="F404" s="1264"/>
    </row>
    <row r="405" spans="1:6">
      <c r="A405" s="511"/>
      <c r="B405" s="511"/>
      <c r="C405" s="511"/>
      <c r="D405" s="1264"/>
      <c r="E405" s="1264"/>
      <c r="F405" s="1264"/>
    </row>
    <row r="406" spans="1:6">
      <c r="A406" s="511"/>
      <c r="B406" s="511"/>
      <c r="C406" s="511"/>
      <c r="D406" s="1264"/>
      <c r="E406" s="1264"/>
      <c r="F406" s="1264"/>
    </row>
    <row r="407" spans="1:6">
      <c r="A407" s="511"/>
      <c r="B407" s="511"/>
      <c r="C407" s="511"/>
      <c r="D407" s="1264"/>
      <c r="E407" s="1264"/>
      <c r="F407" s="1264"/>
    </row>
    <row r="408" spans="1:6">
      <c r="A408" s="511"/>
      <c r="B408" s="511"/>
      <c r="C408" s="511"/>
      <c r="D408" s="1264"/>
      <c r="E408" s="1264"/>
      <c r="F408" s="1264"/>
    </row>
    <row r="409" spans="1:6">
      <c r="A409" s="511"/>
      <c r="B409" s="511"/>
      <c r="C409" s="511"/>
      <c r="D409" s="1264"/>
      <c r="E409" s="1264"/>
      <c r="F409" s="1264"/>
    </row>
    <row r="410" spans="1:6">
      <c r="A410" s="511"/>
      <c r="B410" s="511"/>
      <c r="C410" s="511"/>
      <c r="D410" s="1264"/>
      <c r="E410" s="1264"/>
      <c r="F410" s="1264"/>
    </row>
    <row r="411" spans="1:6">
      <c r="A411" s="511"/>
      <c r="B411" s="511"/>
      <c r="C411" s="531"/>
      <c r="D411" s="1264"/>
      <c r="E411" s="1264"/>
      <c r="F411" s="1264"/>
    </row>
    <row r="412" spans="1:6">
      <c r="A412" s="511"/>
      <c r="B412" s="511"/>
      <c r="C412" s="531"/>
      <c r="D412" s="1264"/>
      <c r="E412" s="1264"/>
      <c r="F412" s="1264"/>
    </row>
    <row r="413" spans="1:6">
      <c r="A413" s="511"/>
      <c r="B413" s="511"/>
      <c r="C413" s="511"/>
      <c r="D413" s="1264"/>
      <c r="E413" s="1264"/>
      <c r="F413" s="1264"/>
    </row>
    <row r="414" spans="1:6">
      <c r="A414" s="511"/>
      <c r="B414" s="511"/>
      <c r="C414" s="531"/>
      <c r="D414" s="1264"/>
      <c r="E414" s="1264"/>
      <c r="F414" s="1264"/>
    </row>
    <row r="415" spans="1:6">
      <c r="A415" s="511"/>
      <c r="B415" s="511"/>
      <c r="C415" s="531"/>
      <c r="D415" s="1264"/>
      <c r="E415" s="1264"/>
      <c r="F415" s="1264"/>
    </row>
    <row r="416" spans="1:6">
      <c r="A416" s="511"/>
      <c r="B416" s="511"/>
      <c r="C416" s="531"/>
      <c r="D416" s="1264"/>
      <c r="E416" s="1264"/>
      <c r="F416" s="1264"/>
    </row>
    <row r="417" spans="1:6">
      <c r="A417" s="511"/>
      <c r="B417" s="511"/>
      <c r="C417" s="511"/>
      <c r="D417" s="482"/>
      <c r="E417" s="482"/>
      <c r="F417" s="481"/>
    </row>
    <row r="418" spans="1:6">
      <c r="A418" s="511"/>
      <c r="B418" s="520" t="s">
        <v>2687</v>
      </c>
      <c r="C418" s="511"/>
      <c r="D418" s="1264" t="s">
        <v>1264</v>
      </c>
      <c r="E418" s="1264"/>
      <c r="F418" s="1264"/>
    </row>
    <row r="419" spans="1:6">
      <c r="A419" s="511"/>
      <c r="B419" s="511"/>
      <c r="C419" s="511"/>
      <c r="D419" s="1264"/>
      <c r="E419" s="1264"/>
      <c r="F419" s="1264"/>
    </row>
    <row r="420" spans="1:6">
      <c r="A420" s="511"/>
      <c r="B420" s="511"/>
      <c r="C420" s="511"/>
      <c r="D420" s="486"/>
      <c r="E420" s="486"/>
      <c r="F420" s="486"/>
    </row>
    <row r="421" spans="1:6" ht="14.4" customHeight="1">
      <c r="A421" s="519"/>
      <c r="B421" s="520" t="s">
        <v>2687</v>
      </c>
      <c r="D421" s="1264" t="s">
        <v>2203</v>
      </c>
      <c r="E421" s="1264"/>
      <c r="F421" s="1264"/>
    </row>
    <row r="422" spans="1:6" ht="14.4" customHeight="1">
      <c r="A422" s="519"/>
      <c r="D422" s="1264"/>
      <c r="E422" s="1264"/>
      <c r="F422" s="1264"/>
    </row>
    <row r="423" spans="1:6" ht="14.4" customHeight="1">
      <c r="A423" s="519"/>
      <c r="D423" s="1264"/>
      <c r="E423" s="1264"/>
      <c r="F423" s="1264"/>
    </row>
    <row r="424" spans="1:6" ht="14.4" customHeight="1">
      <c r="A424" s="519"/>
      <c r="D424" s="1264"/>
      <c r="E424" s="1264"/>
      <c r="F424" s="1264"/>
    </row>
    <row r="425" spans="1:6" ht="14.4" customHeight="1">
      <c r="A425" s="519"/>
      <c r="D425" s="1264"/>
      <c r="E425" s="1264"/>
      <c r="F425" s="1264"/>
    </row>
    <row r="426" spans="1:6" ht="14.4" customHeight="1">
      <c r="A426" s="519"/>
      <c r="D426" s="417"/>
      <c r="E426" s="417"/>
      <c r="F426" s="417"/>
    </row>
    <row r="427" spans="1:6" ht="13.65" customHeight="1">
      <c r="A427" s="519"/>
      <c r="B427" s="520" t="s">
        <v>2687</v>
      </c>
      <c r="C427" s="511"/>
      <c r="D427" s="1264" t="s">
        <v>1387</v>
      </c>
      <c r="E427" s="1264"/>
      <c r="F427" s="1264"/>
    </row>
    <row r="428" spans="1:6" ht="14.4">
      <c r="A428" s="532"/>
      <c r="B428" s="532"/>
      <c r="C428" s="511"/>
      <c r="D428" s="1264"/>
      <c r="E428" s="1264"/>
      <c r="F428" s="1264"/>
    </row>
    <row r="429" spans="1:6" ht="14.4">
      <c r="A429" s="532"/>
      <c r="B429" s="532"/>
      <c r="C429" s="511"/>
      <c r="D429" s="1264"/>
      <c r="E429" s="1264"/>
      <c r="F429" s="1264"/>
    </row>
    <row r="430" spans="1:6" ht="14.4">
      <c r="A430" s="532"/>
      <c r="B430" s="532"/>
      <c r="C430" s="511"/>
      <c r="D430" s="1264"/>
      <c r="E430" s="1264"/>
      <c r="F430" s="1264"/>
    </row>
    <row r="431" spans="1:6" ht="15.75" customHeight="1">
      <c r="A431" s="532"/>
      <c r="B431" s="532"/>
      <c r="C431" s="511"/>
      <c r="D431" s="1328" t="s">
        <v>2470</v>
      </c>
      <c r="E431" s="1264"/>
      <c r="F431" s="1264"/>
    </row>
    <row r="432" spans="1:6">
      <c r="D432" s="481"/>
      <c r="E432" s="481"/>
      <c r="F432" s="481"/>
    </row>
    <row r="433" spans="1:6" ht="14.4">
      <c r="A433" s="519"/>
      <c r="B433" s="520" t="s">
        <v>2687</v>
      </c>
      <c r="C433" s="522"/>
      <c r="D433" s="1276" t="s">
        <v>2453</v>
      </c>
      <c r="E433" s="1276"/>
      <c r="F433" s="1276"/>
    </row>
    <row r="434" spans="1:6" ht="14.4">
      <c r="A434" s="519"/>
      <c r="B434" s="519"/>
      <c r="D434" s="1276"/>
      <c r="E434" s="1276"/>
      <c r="F434" s="1276"/>
    </row>
    <row r="435" spans="1:6">
      <c r="D435" s="1276"/>
      <c r="E435" s="1276"/>
      <c r="F435" s="1276"/>
    </row>
    <row r="436" spans="1:6">
      <c r="D436" s="1276"/>
      <c r="E436" s="1276"/>
      <c r="F436" s="1276"/>
    </row>
    <row r="437" spans="1:6">
      <c r="D437" s="1276"/>
      <c r="E437" s="1276"/>
      <c r="F437" s="1276"/>
    </row>
    <row r="438" spans="1:6">
      <c r="D438" s="1276"/>
      <c r="E438" s="1276"/>
      <c r="F438" s="1276"/>
    </row>
    <row r="439" spans="1:6">
      <c r="D439" s="1276"/>
      <c r="E439" s="1276"/>
      <c r="F439" s="1276"/>
    </row>
    <row r="440" spans="1:6">
      <c r="D440" s="1276"/>
      <c r="E440" s="1276"/>
      <c r="F440" s="1276"/>
    </row>
    <row r="441" spans="1:6">
      <c r="D441" s="1276"/>
      <c r="E441" s="1276"/>
      <c r="F441" s="1276"/>
    </row>
    <row r="442" spans="1:6">
      <c r="D442" s="1276"/>
      <c r="E442" s="1276"/>
      <c r="F442" s="1276"/>
    </row>
    <row r="443" spans="1:6">
      <c r="D443" s="1276"/>
      <c r="E443" s="1276"/>
      <c r="F443" s="1276"/>
    </row>
    <row r="444" spans="1:6">
      <c r="D444" s="1276"/>
      <c r="E444" s="1276"/>
      <c r="F444" s="1276"/>
    </row>
    <row r="445" spans="1:6">
      <c r="D445" s="1276"/>
      <c r="E445" s="1276"/>
      <c r="F445" s="1276"/>
    </row>
    <row r="446" spans="1:6">
      <c r="A446" s="434"/>
      <c r="B446" s="434"/>
      <c r="C446" s="434"/>
      <c r="D446" s="1276"/>
      <c r="E446" s="1276"/>
      <c r="F446" s="1276"/>
    </row>
    <row r="447" spans="1:6">
      <c r="A447" s="434"/>
      <c r="B447" s="434"/>
      <c r="C447" s="434"/>
      <c r="D447" s="1276"/>
      <c r="E447" s="1276"/>
      <c r="F447" s="1276"/>
    </row>
    <row r="448" spans="1:6">
      <c r="A448" s="434"/>
      <c r="B448" s="434"/>
      <c r="C448" s="434"/>
      <c r="D448" s="1276"/>
      <c r="E448" s="1276"/>
      <c r="F448" s="1276"/>
    </row>
    <row r="449" spans="1:6">
      <c r="A449" s="434"/>
      <c r="B449" s="434"/>
      <c r="C449" s="434"/>
      <c r="D449" s="1276"/>
      <c r="E449" s="1276"/>
      <c r="F449" s="1276"/>
    </row>
    <row r="450" spans="1:6">
      <c r="A450" s="434"/>
      <c r="B450" s="434"/>
      <c r="C450" s="434"/>
      <c r="D450" s="1276"/>
      <c r="E450" s="1276"/>
      <c r="F450" s="1276"/>
    </row>
    <row r="451" spans="1:6">
      <c r="A451" s="434"/>
      <c r="B451" s="434"/>
      <c r="C451" s="434"/>
      <c r="D451" s="1276"/>
      <c r="E451" s="1276"/>
      <c r="F451" s="1276"/>
    </row>
    <row r="452" spans="1:6">
      <c r="A452" s="434"/>
      <c r="B452" s="434"/>
      <c r="C452" s="434"/>
      <c r="D452" s="1276"/>
      <c r="E452" s="1276"/>
      <c r="F452" s="1276"/>
    </row>
    <row r="453" spans="1:6">
      <c r="A453" s="434"/>
      <c r="B453" s="434"/>
      <c r="C453" s="434"/>
      <c r="D453" s="1276"/>
      <c r="E453" s="1276"/>
      <c r="F453" s="1276"/>
    </row>
    <row r="454" spans="1:6">
      <c r="A454" s="434"/>
      <c r="B454" s="434"/>
      <c r="C454" s="434"/>
      <c r="D454" s="1276"/>
      <c r="E454" s="1276"/>
      <c r="F454" s="1276"/>
    </row>
    <row r="455" spans="1:6">
      <c r="A455" s="434"/>
      <c r="B455" s="434"/>
      <c r="C455" s="434"/>
      <c r="D455" s="1276"/>
      <c r="E455" s="1276"/>
      <c r="F455" s="1276"/>
    </row>
    <row r="456" spans="1:6">
      <c r="A456" s="434"/>
      <c r="B456" s="434"/>
      <c r="C456" s="434"/>
      <c r="D456" s="1276"/>
      <c r="E456" s="1276"/>
      <c r="F456" s="1276"/>
    </row>
    <row r="457" spans="1:6">
      <c r="A457" s="434"/>
      <c r="B457" s="434"/>
      <c r="C457" s="434"/>
      <c r="D457" s="1276"/>
      <c r="E457" s="1276"/>
      <c r="F457" s="1276"/>
    </row>
    <row r="458" spans="1:6">
      <c r="A458" s="434"/>
      <c r="B458" s="434"/>
      <c r="C458" s="434"/>
      <c r="D458" s="1276"/>
      <c r="E458" s="1276"/>
      <c r="F458" s="1276"/>
    </row>
    <row r="459" spans="1:6">
      <c r="A459" s="434"/>
      <c r="B459" s="434"/>
      <c r="C459" s="434"/>
      <c r="D459" s="1276"/>
      <c r="E459" s="1276"/>
      <c r="F459" s="1276"/>
    </row>
    <row r="460" spans="1:6">
      <c r="A460" s="434"/>
      <c r="B460" s="434"/>
      <c r="C460" s="434"/>
      <c r="D460" s="1276"/>
      <c r="E460" s="1276"/>
      <c r="F460" s="1276"/>
    </row>
    <row r="461" spans="1:6">
      <c r="A461" s="434"/>
      <c r="B461" s="434"/>
      <c r="C461" s="434"/>
      <c r="D461" s="1276"/>
      <c r="E461" s="1276"/>
      <c r="F461" s="1276"/>
    </row>
    <row r="462" spans="1:6">
      <c r="D462" s="1276"/>
      <c r="E462" s="1276"/>
      <c r="F462" s="1276"/>
    </row>
    <row r="463" spans="1:6" ht="40.65" customHeight="1">
      <c r="D463" s="1276"/>
      <c r="E463" s="1276"/>
      <c r="F463" s="1276"/>
    </row>
    <row r="464" spans="1:6">
      <c r="D464" s="481"/>
      <c r="E464" s="481"/>
      <c r="F464" s="481"/>
    </row>
    <row r="465" spans="1:6" ht="14.4">
      <c r="A465" s="519"/>
      <c r="B465" s="520" t="s">
        <v>2687</v>
      </c>
      <c r="C465" s="522"/>
      <c r="D465" s="1276" t="s">
        <v>1269</v>
      </c>
      <c r="E465" s="1276"/>
      <c r="F465" s="1276"/>
    </row>
    <row r="466" spans="1:6">
      <c r="D466" s="1276"/>
      <c r="E466" s="1276"/>
      <c r="F466" s="1276"/>
    </row>
    <row r="467" spans="1:6">
      <c r="D467" s="1276"/>
      <c r="E467" s="1276"/>
      <c r="F467" s="1276"/>
    </row>
    <row r="468" spans="1:6">
      <c r="D468" s="480"/>
      <c r="E468" s="480"/>
      <c r="F468" s="480"/>
    </row>
    <row r="469" spans="1:6" ht="14.4">
      <c r="B469" s="520" t="s">
        <v>2687</v>
      </c>
      <c r="C469" s="519"/>
      <c r="D469" s="1276" t="s">
        <v>1339</v>
      </c>
      <c r="E469" s="1276"/>
      <c r="F469" s="1276"/>
    </row>
    <row r="470" spans="1:6">
      <c r="D470" s="1276"/>
      <c r="E470" s="1276"/>
      <c r="F470" s="1276"/>
    </row>
    <row r="471" spans="1:6">
      <c r="D471" s="481"/>
      <c r="E471" s="481"/>
      <c r="F471" s="481"/>
    </row>
    <row r="472" spans="1:6" ht="14.4">
      <c r="B472" s="520" t="s">
        <v>2687</v>
      </c>
      <c r="C472" s="519"/>
      <c r="D472" s="1276" t="s">
        <v>1271</v>
      </c>
      <c r="E472" s="1276"/>
      <c r="F472" s="1276"/>
    </row>
    <row r="473" spans="1:6">
      <c r="D473" s="1276"/>
      <c r="E473" s="1276"/>
      <c r="F473" s="1276"/>
    </row>
    <row r="474" spans="1:6">
      <c r="D474" s="1276"/>
      <c r="E474" s="1276"/>
      <c r="F474" s="1276"/>
    </row>
    <row r="475" spans="1:6">
      <c r="D475" s="1276"/>
      <c r="E475" s="1276"/>
      <c r="F475" s="1276"/>
    </row>
    <row r="476" spans="1:6">
      <c r="B476" s="520" t="s">
        <v>2687</v>
      </c>
      <c r="D476" s="1276"/>
      <c r="E476" s="1276"/>
      <c r="F476" s="1276"/>
    </row>
    <row r="477" spans="1:6">
      <c r="A477" s="434"/>
      <c r="B477" s="434"/>
      <c r="C477" s="434"/>
      <c r="D477" s="1276"/>
      <c r="E477" s="1276"/>
      <c r="F477" s="1276"/>
    </row>
    <row r="478" spans="1:6">
      <c r="A478" s="434"/>
      <c r="C478" s="434"/>
      <c r="D478" s="1276"/>
      <c r="E478" s="1276"/>
      <c r="F478" s="1276"/>
    </row>
    <row r="479" spans="1:6">
      <c r="A479" s="434"/>
      <c r="B479" s="520" t="s">
        <v>2687</v>
      </c>
      <c r="C479" s="434"/>
      <c r="D479" s="1276"/>
      <c r="E479" s="1276"/>
      <c r="F479" s="1276"/>
    </row>
    <row r="480" spans="1:6">
      <c r="A480" s="434"/>
      <c r="B480" s="434"/>
      <c r="C480" s="434"/>
      <c r="D480" s="1276"/>
      <c r="E480" s="1276"/>
      <c r="F480" s="1276"/>
    </row>
    <row r="481" spans="1:9">
      <c r="A481" s="434"/>
      <c r="C481" s="434"/>
      <c r="D481" s="1276"/>
      <c r="E481" s="1276"/>
      <c r="F481" s="1276"/>
    </row>
    <row r="482" spans="1:9">
      <c r="A482" s="434"/>
      <c r="C482" s="434"/>
      <c r="D482" s="1276"/>
      <c r="E482" s="1276"/>
      <c r="F482" s="1276"/>
    </row>
    <row r="483" spans="1:9">
      <c r="A483" s="434"/>
      <c r="C483" s="434"/>
      <c r="D483" s="1276"/>
      <c r="E483" s="1276"/>
      <c r="F483" s="1276"/>
    </row>
    <row r="484" spans="1:9">
      <c r="A484" s="434"/>
      <c r="B484" s="520" t="s">
        <v>2687</v>
      </c>
      <c r="C484" s="434"/>
      <c r="D484" s="1276"/>
      <c r="E484" s="1276"/>
      <c r="F484" s="1276"/>
    </row>
    <row r="485" spans="1:9">
      <c r="A485" s="434"/>
      <c r="C485" s="434"/>
      <c r="D485" s="1276"/>
      <c r="E485" s="1276"/>
      <c r="F485" s="1276"/>
    </row>
    <row r="486" spans="1:9">
      <c r="A486" s="434"/>
      <c r="B486" s="520" t="s">
        <v>2687</v>
      </c>
      <c r="C486" s="434"/>
      <c r="D486" s="1276" t="s">
        <v>1272</v>
      </c>
      <c r="E486" s="1276"/>
      <c r="F486" s="1276"/>
    </row>
    <row r="487" spans="1:9">
      <c r="A487" s="434"/>
      <c r="B487" s="434"/>
      <c r="C487" s="434"/>
      <c r="D487" s="1276"/>
      <c r="E487" s="1276"/>
      <c r="F487" s="1276"/>
    </row>
    <row r="488" spans="1:9">
      <c r="A488" s="434"/>
      <c r="B488" s="434"/>
      <c r="C488" s="434"/>
      <c r="D488" s="1276"/>
      <c r="E488" s="1276"/>
      <c r="F488" s="1276"/>
    </row>
    <row r="489" spans="1:9">
      <c r="A489" s="434"/>
      <c r="B489" s="434"/>
      <c r="C489" s="434"/>
      <c r="D489" s="1276"/>
      <c r="E489" s="1276"/>
      <c r="F489" s="1276"/>
    </row>
    <row r="490" spans="1:9">
      <c r="D490" s="1276"/>
      <c r="E490" s="1276"/>
      <c r="F490" s="1276"/>
    </row>
    <row r="491" spans="1:9">
      <c r="D491" s="481"/>
      <c r="E491" s="481"/>
      <c r="F491" s="481"/>
    </row>
    <row r="492" spans="1:9">
      <c r="B492" s="520" t="s">
        <v>2687</v>
      </c>
      <c r="D492" s="1305" t="s">
        <v>1273</v>
      </c>
      <c r="E492" s="1305"/>
      <c r="F492" s="1305"/>
    </row>
    <row r="493" spans="1:9">
      <c r="A493" s="481"/>
      <c r="B493" s="481"/>
    </row>
    <row r="494" spans="1:9">
      <c r="A494" s="1282" t="s">
        <v>1114</v>
      </c>
      <c r="B494" s="1282"/>
      <c r="C494" s="1282"/>
      <c r="D494" s="1282"/>
      <c r="E494" s="1282"/>
      <c r="F494" s="1282"/>
      <c r="G494" s="1282"/>
      <c r="H494" s="1071"/>
      <c r="I494" s="1072"/>
    </row>
    <row r="495" spans="1:9">
      <c r="A495" s="481"/>
      <c r="B495" s="481"/>
    </row>
    <row r="496" spans="1:9">
      <c r="D496" s="1312" t="s">
        <v>912</v>
      </c>
      <c r="E496" s="1312"/>
      <c r="F496" s="1312"/>
    </row>
    <row r="497" spans="1:9" ht="14.4">
      <c r="A497" s="519"/>
      <c r="B497" s="519"/>
      <c r="D497" s="1309" t="s">
        <v>1274</v>
      </c>
      <c r="E497" s="1309"/>
      <c r="F497" s="1309"/>
    </row>
    <row r="498" spans="1:9" ht="14.4">
      <c r="A498" s="519"/>
      <c r="B498" s="519"/>
      <c r="D498" s="482"/>
    </row>
    <row r="499" spans="1:9" ht="14.4">
      <c r="A499" s="519"/>
      <c r="B499" s="520" t="s">
        <v>2687</v>
      </c>
      <c r="D499" s="1264" t="s">
        <v>1275</v>
      </c>
      <c r="E499" s="1264"/>
      <c r="F499" s="1264"/>
      <c r="I499" s="436" t="s">
        <v>2167</v>
      </c>
    </row>
    <row r="500" spans="1:9" ht="14.4">
      <c r="A500" s="519"/>
      <c r="B500" s="519"/>
      <c r="D500" s="1264"/>
      <c r="E500" s="1264"/>
      <c r="F500" s="1264"/>
    </row>
    <row r="501" spans="1:9" ht="14.4">
      <c r="A501" s="519"/>
      <c r="B501" s="519"/>
      <c r="D501" s="481"/>
    </row>
    <row r="502" spans="1:9" ht="12.75" customHeight="1">
      <c r="B502" s="520" t="s">
        <v>2687</v>
      </c>
      <c r="D502" s="1298" t="s">
        <v>1430</v>
      </c>
      <c r="E502" s="1298"/>
      <c r="F502" s="1298"/>
      <c r="I502" s="436" t="s">
        <v>2168</v>
      </c>
    </row>
    <row r="503" spans="1:9" ht="14.4">
      <c r="A503" s="519"/>
      <c r="D503" s="1298"/>
      <c r="E503" s="1298"/>
      <c r="F503" s="1298"/>
    </row>
    <row r="504" spans="1:9" ht="14.4">
      <c r="A504" s="519"/>
      <c r="B504" s="519"/>
      <c r="D504" s="1298"/>
      <c r="E504" s="1298"/>
      <c r="F504" s="1298"/>
    </row>
    <row r="505" spans="1:9" ht="14.4">
      <c r="A505" s="519"/>
      <c r="B505" s="519"/>
      <c r="D505" s="1298"/>
      <c r="E505" s="1298"/>
      <c r="F505" s="1298"/>
    </row>
    <row r="506" spans="1:9" ht="14.4">
      <c r="A506" s="519"/>
      <c r="D506" s="555"/>
      <c r="E506" s="555"/>
      <c r="F506" s="555"/>
    </row>
    <row r="507" spans="1:9" ht="14.4">
      <c r="A507" s="519"/>
      <c r="B507" s="520" t="s">
        <v>2687</v>
      </c>
      <c r="D507" s="1305" t="s">
        <v>1278</v>
      </c>
      <c r="E507" s="1305"/>
      <c r="F507" s="1305"/>
      <c r="I507" s="436" t="s">
        <v>2169</v>
      </c>
    </row>
    <row r="508" spans="1:9" ht="14.4">
      <c r="A508" s="519"/>
      <c r="B508" s="519"/>
      <c r="D508" s="481"/>
    </row>
    <row r="509" spans="1:9" ht="14.4">
      <c r="A509" s="519"/>
      <c r="B509" s="520" t="s">
        <v>2687</v>
      </c>
      <c r="D509" s="1276" t="s">
        <v>1279</v>
      </c>
      <c r="E509" s="1276"/>
      <c r="F509" s="1276"/>
      <c r="I509" s="436" t="s">
        <v>2169</v>
      </c>
    </row>
    <row r="510" spans="1:9" ht="14.4">
      <c r="A510" s="519"/>
      <c r="D510" s="1276"/>
      <c r="E510" s="1276"/>
      <c r="F510" s="1276"/>
    </row>
    <row r="511" spans="1:9">
      <c r="A511" s="525"/>
      <c r="B511" s="525"/>
      <c r="D511" s="482"/>
    </row>
    <row r="512" spans="1:9">
      <c r="A512" s="525"/>
      <c r="B512" s="520" t="s">
        <v>2687</v>
      </c>
      <c r="D512" s="1305" t="s">
        <v>1280</v>
      </c>
      <c r="E512" s="1305"/>
      <c r="F512" s="1305"/>
      <c r="I512" s="436" t="s">
        <v>2222</v>
      </c>
    </row>
    <row r="513" spans="1:9" ht="14.4">
      <c r="A513" s="519"/>
      <c r="B513" s="519"/>
      <c r="D513" s="481"/>
    </row>
    <row r="514" spans="1:9">
      <c r="A514" s="1282" t="s">
        <v>1115</v>
      </c>
      <c r="B514" s="1282"/>
      <c r="C514" s="1282"/>
      <c r="D514" s="1282"/>
      <c r="E514" s="1282"/>
      <c r="F514" s="1282"/>
      <c r="G514" s="1282"/>
      <c r="H514" s="1071"/>
      <c r="I514" s="1072"/>
    </row>
    <row r="515" spans="1:9" ht="12" customHeight="1">
      <c r="A515" s="519"/>
      <c r="B515" s="519"/>
      <c r="D515" s="481"/>
    </row>
    <row r="516" spans="1:9">
      <c r="C516" s="517"/>
      <c r="D516" s="1274" t="s">
        <v>818</v>
      </c>
      <c r="E516" s="1274"/>
      <c r="F516" s="1274"/>
    </row>
    <row r="517" spans="1:9">
      <c r="C517" s="517"/>
      <c r="D517" s="541" t="s">
        <v>1341</v>
      </c>
      <c r="E517" s="541"/>
      <c r="F517" s="541"/>
    </row>
    <row r="518" spans="1:9">
      <c r="C518" s="517"/>
      <c r="D518" s="541" t="s">
        <v>1342</v>
      </c>
      <c r="E518" s="541"/>
      <c r="F518" s="541"/>
    </row>
    <row r="519" spans="1:9">
      <c r="C519" s="517"/>
      <c r="D519" s="516"/>
      <c r="E519" s="516"/>
      <c r="F519" s="516"/>
    </row>
    <row r="520" spans="1:9" ht="13.65" customHeight="1">
      <c r="A520" s="518"/>
      <c r="B520" s="520" t="s">
        <v>2688</v>
      </c>
      <c r="C520" s="518"/>
      <c r="D520" s="1264" t="s">
        <v>2454</v>
      </c>
      <c r="E520" s="1264"/>
      <c r="F520" s="1264"/>
      <c r="I520" s="436" t="s">
        <v>2204</v>
      </c>
    </row>
    <row r="521" spans="1:9">
      <c r="A521" s="518"/>
      <c r="B521" s="518"/>
      <c r="C521" s="518"/>
      <c r="D521" s="1264"/>
      <c r="E521" s="1264"/>
      <c r="F521" s="1264"/>
    </row>
    <row r="522" spans="1:9">
      <c r="A522" s="518"/>
      <c r="B522" s="518"/>
      <c r="C522" s="518"/>
      <c r="D522" s="486"/>
      <c r="E522" s="486"/>
      <c r="F522" s="486"/>
      <c r="I522" s="434"/>
    </row>
    <row r="523" spans="1:9" ht="12.75" customHeight="1">
      <c r="A523" s="518"/>
      <c r="B523" s="520" t="s">
        <v>2688</v>
      </c>
      <c r="D523" s="418" t="s">
        <v>2284</v>
      </c>
      <c r="E523" s="417"/>
      <c r="F523" s="417"/>
      <c r="I523" s="436" t="s">
        <v>2170</v>
      </c>
    </row>
    <row r="524" spans="1:9">
      <c r="A524" s="518"/>
      <c r="B524" s="518"/>
      <c r="C524" s="518"/>
      <c r="D524" s="417"/>
      <c r="E524" s="96" t="s">
        <v>2285</v>
      </c>
    </row>
    <row r="525" spans="1:9">
      <c r="A525" s="518"/>
      <c r="B525" s="518"/>
      <c r="D525" s="1320" t="s">
        <v>2455</v>
      </c>
      <c r="E525" s="1320"/>
      <c r="F525" s="1320"/>
    </row>
    <row r="526" spans="1:9">
      <c r="A526" s="518"/>
      <c r="B526" s="518"/>
      <c r="D526" s="1320"/>
      <c r="E526" s="1320"/>
      <c r="F526" s="1320"/>
    </row>
    <row r="527" spans="1:9">
      <c r="A527" s="518"/>
      <c r="B527" s="518"/>
      <c r="C527" s="518"/>
      <c r="D527" s="1320"/>
      <c r="E527" s="1320"/>
      <c r="F527" s="1320"/>
    </row>
    <row r="528" spans="1:9">
      <c r="A528" s="518"/>
      <c r="B528" s="518"/>
      <c r="C528" s="518"/>
      <c r="D528" s="533"/>
      <c r="F528" s="481"/>
    </row>
    <row r="529" spans="1:9" ht="13.2" customHeight="1">
      <c r="A529" s="518"/>
      <c r="B529" s="520" t="s">
        <v>2687</v>
      </c>
      <c r="C529" s="518"/>
      <c r="D529" s="1276" t="s">
        <v>2456</v>
      </c>
      <c r="E529" s="1276"/>
      <c r="F529" s="1276"/>
      <c r="I529" s="436" t="s">
        <v>2170</v>
      </c>
    </row>
    <row r="530" spans="1:9">
      <c r="A530" s="518"/>
      <c r="B530" s="518"/>
      <c r="C530" s="518"/>
      <c r="D530" s="1276"/>
      <c r="E530" s="1276"/>
      <c r="F530" s="1276"/>
    </row>
    <row r="531" spans="1:9" ht="12" customHeight="1">
      <c r="A531" s="481"/>
      <c r="B531" s="481"/>
      <c r="C531" s="522"/>
      <c r="D531" s="481"/>
      <c r="F531" s="483"/>
    </row>
    <row r="532" spans="1:9">
      <c r="A532" s="1282" t="s">
        <v>1116</v>
      </c>
      <c r="B532" s="1282"/>
      <c r="C532" s="1282"/>
      <c r="D532" s="1282"/>
      <c r="E532" s="1282"/>
      <c r="F532" s="1282"/>
      <c r="G532" s="1282"/>
      <c r="H532" s="1071"/>
      <c r="I532" s="1072"/>
    </row>
    <row r="533" spans="1:9">
      <c r="A533" s="481"/>
      <c r="B533" s="481"/>
      <c r="C533" s="522"/>
      <c r="F533" s="483"/>
    </row>
    <row r="534" spans="1:9">
      <c r="B534" s="1291" t="s">
        <v>450</v>
      </c>
      <c r="C534" s="1291"/>
      <c r="D534" s="1291"/>
      <c r="E534" s="1291"/>
      <c r="F534" s="1291"/>
    </row>
    <row r="535" spans="1:9">
      <c r="A535" s="481"/>
      <c r="B535" s="481"/>
      <c r="C535" s="522"/>
      <c r="D535" s="481"/>
      <c r="F535" s="481"/>
    </row>
    <row r="536" spans="1:9">
      <c r="A536" s="1283" t="s">
        <v>1117</v>
      </c>
      <c r="B536" s="1283"/>
      <c r="C536" s="1283"/>
      <c r="D536" s="1283"/>
      <c r="E536" s="1283"/>
      <c r="F536" s="1283"/>
      <c r="G536" s="1283"/>
      <c r="H536" s="1071"/>
      <c r="I536" s="1072"/>
    </row>
    <row r="537" spans="1:9">
      <c r="A537" s="481"/>
      <c r="B537" s="481"/>
      <c r="C537" s="522"/>
      <c r="D537" s="481"/>
      <c r="F537" s="481"/>
    </row>
    <row r="538" spans="1:9">
      <c r="C538" s="522"/>
      <c r="D538" s="1274" t="s">
        <v>693</v>
      </c>
      <c r="E538" s="1274"/>
      <c r="F538" s="1274"/>
    </row>
    <row r="539" spans="1:9">
      <c r="C539" s="522"/>
      <c r="D539" s="1305" t="s">
        <v>1174</v>
      </c>
      <c r="E539" s="1305"/>
      <c r="F539" s="1305"/>
    </row>
    <row r="540" spans="1:9">
      <c r="C540" s="522"/>
      <c r="D540" s="481"/>
      <c r="E540" s="481"/>
      <c r="F540" s="481"/>
    </row>
    <row r="541" spans="1:9" ht="13.65" customHeight="1">
      <c r="A541" s="519"/>
      <c r="B541" s="520" t="s">
        <v>2688</v>
      </c>
      <c r="C541" s="522"/>
      <c r="D541" s="1305" t="s">
        <v>913</v>
      </c>
      <c r="E541" s="1305"/>
      <c r="F541" s="1305"/>
      <c r="I541" s="436" t="s">
        <v>2220</v>
      </c>
    </row>
    <row r="542" spans="1:9" ht="13.65" customHeight="1">
      <c r="A542" s="522"/>
      <c r="B542" s="522"/>
      <c r="C542" s="522"/>
      <c r="D542" s="481"/>
    </row>
    <row r="543" spans="1:9" ht="14.4">
      <c r="A543" s="519"/>
      <c r="B543" s="520" t="s">
        <v>2688</v>
      </c>
      <c r="C543" s="522"/>
      <c r="D543" s="1276" t="s">
        <v>1175</v>
      </c>
      <c r="E543" s="1276"/>
      <c r="F543" s="1276"/>
      <c r="I543" s="436" t="s">
        <v>2220</v>
      </c>
    </row>
    <row r="544" spans="1:9">
      <c r="A544" s="522"/>
      <c r="B544" s="522"/>
      <c r="C544" s="522"/>
      <c r="D544" s="1276"/>
      <c r="E544" s="1276"/>
      <c r="F544" s="1276"/>
    </row>
    <row r="545" spans="1:9">
      <c r="A545" s="522"/>
      <c r="B545" s="522"/>
      <c r="C545" s="522"/>
      <c r="D545" s="481"/>
      <c r="E545" s="481"/>
      <c r="F545" s="481"/>
    </row>
    <row r="546" spans="1:9" ht="14.4">
      <c r="A546" s="519"/>
      <c r="B546" s="520" t="s">
        <v>2688</v>
      </c>
      <c r="C546" s="522"/>
      <c r="D546" s="1276" t="s">
        <v>1176</v>
      </c>
      <c r="E546" s="1276"/>
      <c r="F546" s="1276"/>
      <c r="I546" s="436" t="s">
        <v>2171</v>
      </c>
    </row>
    <row r="547" spans="1:9">
      <c r="A547" s="522"/>
      <c r="B547" s="522"/>
      <c r="C547" s="522"/>
      <c r="D547" s="1276"/>
      <c r="E547" s="1276"/>
      <c r="F547" s="1276"/>
    </row>
    <row r="548" spans="1:9">
      <c r="A548" s="522"/>
      <c r="B548" s="522"/>
      <c r="C548" s="522"/>
      <c r="D548" s="481"/>
      <c r="E548" s="481"/>
      <c r="F548" s="481"/>
    </row>
    <row r="549" spans="1:9" ht="14.4">
      <c r="A549" s="519"/>
      <c r="B549" s="520" t="s">
        <v>2688</v>
      </c>
      <c r="C549" s="522"/>
      <c r="D549" s="1276" t="s">
        <v>1177</v>
      </c>
      <c r="E549" s="1276"/>
      <c r="F549" s="1276"/>
      <c r="I549" s="436" t="s">
        <v>2172</v>
      </c>
    </row>
    <row r="550" spans="1:9">
      <c r="A550" s="522"/>
      <c r="B550" s="522"/>
      <c r="C550" s="522"/>
      <c r="D550" s="1276"/>
      <c r="E550" s="1276"/>
      <c r="F550" s="1276"/>
    </row>
    <row r="551" spans="1:9">
      <c r="A551" s="522"/>
      <c r="B551" s="522"/>
      <c r="C551" s="522"/>
      <c r="D551" s="481"/>
      <c r="E551" s="481"/>
      <c r="F551" s="481"/>
    </row>
    <row r="552" spans="1:9" ht="14.4">
      <c r="A552" s="519"/>
      <c r="B552" s="520" t="s">
        <v>2688</v>
      </c>
      <c r="C552" s="522"/>
      <c r="D552" s="1276" t="s">
        <v>1178</v>
      </c>
      <c r="E552" s="1276"/>
      <c r="F552" s="1276"/>
      <c r="I552" s="436" t="s">
        <v>2221</v>
      </c>
    </row>
    <row r="553" spans="1:9">
      <c r="A553" s="522"/>
      <c r="B553" s="522"/>
      <c r="C553" s="522"/>
      <c r="D553" s="1276"/>
      <c r="E553" s="1276"/>
      <c r="F553" s="1276"/>
    </row>
    <row r="554" spans="1:9">
      <c r="A554" s="522"/>
      <c r="B554" s="522"/>
      <c r="C554" s="522"/>
      <c r="D554" s="1276"/>
      <c r="E554" s="1276"/>
      <c r="F554" s="1276"/>
    </row>
    <row r="555" spans="1:9">
      <c r="A555" s="522"/>
      <c r="B555" s="522"/>
      <c r="C555" s="522"/>
      <c r="D555" s="481"/>
      <c r="E555" s="481"/>
      <c r="F555" s="481"/>
    </row>
    <row r="556" spans="1:9" ht="14.4">
      <c r="A556" s="519"/>
      <c r="B556" s="520" t="s">
        <v>2687</v>
      </c>
      <c r="C556" s="522"/>
      <c r="D556" s="1276" t="s">
        <v>1296</v>
      </c>
      <c r="E556" s="1276"/>
      <c r="F556" s="1276"/>
      <c r="I556" s="436" t="s">
        <v>2220</v>
      </c>
    </row>
    <row r="557" spans="1:9">
      <c r="A557" s="522"/>
      <c r="B557" s="522"/>
      <c r="C557" s="522"/>
      <c r="D557" s="1276"/>
      <c r="E557" s="1276"/>
      <c r="F557" s="1276"/>
    </row>
    <row r="558" spans="1:9">
      <c r="A558" s="522"/>
      <c r="B558" s="522"/>
      <c r="C558" s="522"/>
      <c r="D558" s="481"/>
      <c r="E558" s="481"/>
      <c r="F558" s="481"/>
    </row>
    <row r="559" spans="1:9" ht="14.4">
      <c r="A559" s="519"/>
      <c r="B559" s="520" t="s">
        <v>2687</v>
      </c>
      <c r="C559" s="522"/>
      <c r="D559" s="1276" t="s">
        <v>1180</v>
      </c>
      <c r="E559" s="1276"/>
      <c r="F559" s="1276"/>
      <c r="I559" s="436" t="s">
        <v>2220</v>
      </c>
    </row>
    <row r="560" spans="1:9">
      <c r="A560" s="522"/>
      <c r="B560" s="522"/>
      <c r="C560" s="522"/>
      <c r="D560" s="1276"/>
      <c r="E560" s="1276"/>
      <c r="F560" s="1276"/>
    </row>
    <row r="561" spans="1:9">
      <c r="A561" s="522"/>
      <c r="B561" s="522"/>
      <c r="C561" s="522"/>
      <c r="D561" s="481"/>
      <c r="E561" s="481"/>
      <c r="F561" s="481"/>
    </row>
    <row r="562" spans="1:9" ht="14.4">
      <c r="A562" s="519"/>
      <c r="B562" s="520" t="s">
        <v>2688</v>
      </c>
      <c r="C562" s="522"/>
      <c r="D562" s="1305" t="s">
        <v>1181</v>
      </c>
      <c r="E562" s="1305"/>
      <c r="F562" s="1305"/>
      <c r="I562" s="436" t="s">
        <v>2223</v>
      </c>
    </row>
    <row r="563" spans="1:9">
      <c r="A563" s="525"/>
      <c r="B563" s="525"/>
      <c r="C563" s="522"/>
      <c r="D563" s="1305" t="s">
        <v>2287</v>
      </c>
      <c r="E563" s="1305"/>
      <c r="F563" s="1305"/>
    </row>
    <row r="564" spans="1:9">
      <c r="A564" s="525"/>
      <c r="B564" s="525"/>
      <c r="C564" s="522"/>
      <c r="E564" s="96" t="s">
        <v>2286</v>
      </c>
      <c r="F564" s="436"/>
    </row>
    <row r="565" spans="1:9" ht="14.4">
      <c r="A565" s="519"/>
      <c r="B565" s="519"/>
      <c r="C565" s="522"/>
      <c r="E565" s="481"/>
      <c r="F565" s="481"/>
    </row>
    <row r="566" spans="1:9" ht="14.4">
      <c r="A566" s="519"/>
      <c r="B566" s="520" t="s">
        <v>2688</v>
      </c>
      <c r="C566" s="522"/>
      <c r="D566" s="1305" t="s">
        <v>1183</v>
      </c>
      <c r="E566" s="1305"/>
      <c r="F566" s="1305"/>
      <c r="I566" s="436" t="s">
        <v>2173</v>
      </c>
    </row>
    <row r="567" spans="1:9">
      <c r="C567" s="522"/>
      <c r="D567" s="1276" t="s">
        <v>1184</v>
      </c>
      <c r="E567" s="1276"/>
      <c r="F567" s="1276"/>
    </row>
    <row r="568" spans="1:9">
      <c r="A568" s="522"/>
      <c r="B568" s="522"/>
      <c r="C568" s="522"/>
      <c r="D568" s="1276"/>
      <c r="E568" s="1276"/>
      <c r="F568" s="1276"/>
    </row>
    <row r="569" spans="1:9">
      <c r="A569" s="522"/>
      <c r="B569" s="522"/>
      <c r="C569" s="522"/>
      <c r="D569" s="1276"/>
      <c r="E569" s="1276"/>
      <c r="F569" s="1276"/>
    </row>
    <row r="570" spans="1:9">
      <c r="A570" s="522"/>
      <c r="B570" s="522"/>
      <c r="C570" s="522"/>
      <c r="D570" s="481"/>
      <c r="E570" s="481"/>
      <c r="F570" s="481"/>
    </row>
    <row r="571" spans="1:9" ht="14.4">
      <c r="A571" s="519"/>
      <c r="B571" s="520" t="s">
        <v>2688</v>
      </c>
      <c r="C571" s="522"/>
      <c r="D571" s="1276" t="s">
        <v>2457</v>
      </c>
      <c r="E571" s="1276"/>
      <c r="F571" s="1276"/>
      <c r="I571" s="436" t="s">
        <v>2174</v>
      </c>
    </row>
    <row r="572" spans="1:9" ht="14.4">
      <c r="A572" s="519"/>
      <c r="B572" s="519"/>
      <c r="C572" s="522"/>
      <c r="D572" s="1276"/>
      <c r="E572" s="1276"/>
      <c r="F572" s="1276"/>
    </row>
    <row r="573" spans="1:9" ht="14.4">
      <c r="A573" s="519"/>
      <c r="B573" s="519"/>
      <c r="C573" s="522"/>
      <c r="D573" s="1276"/>
      <c r="E573" s="1276"/>
      <c r="F573" s="1276"/>
    </row>
    <row r="574" spans="1:9" ht="14.4">
      <c r="A574" s="519"/>
      <c r="B574" s="519"/>
      <c r="C574" s="522"/>
      <c r="D574" s="1276"/>
      <c r="E574" s="1276"/>
      <c r="F574" s="1276"/>
    </row>
    <row r="575" spans="1:9" ht="14.4">
      <c r="A575" s="519"/>
      <c r="B575" s="519"/>
      <c r="C575" s="522"/>
      <c r="D575" s="481"/>
      <c r="E575" s="481"/>
      <c r="F575" s="481"/>
    </row>
    <row r="576" spans="1:9">
      <c r="A576" s="1282" t="s">
        <v>1118</v>
      </c>
      <c r="B576" s="1282"/>
      <c r="C576" s="1282"/>
      <c r="D576" s="1282"/>
      <c r="E576" s="1282"/>
      <c r="F576" s="1282"/>
      <c r="G576" s="1282"/>
      <c r="H576" s="1071"/>
      <c r="I576" s="1072"/>
    </row>
    <row r="577" spans="1:9">
      <c r="A577" s="522"/>
      <c r="B577" s="522"/>
      <c r="C577" s="522"/>
      <c r="E577" s="481"/>
      <c r="F577" s="481"/>
    </row>
    <row r="578" spans="1:9" ht="12.75" customHeight="1">
      <c r="C578" s="517"/>
      <c r="D578" s="1304" t="s">
        <v>212</v>
      </c>
      <c r="E578" s="1304"/>
      <c r="F578" s="1304"/>
    </row>
    <row r="579" spans="1:9">
      <c r="A579" s="518"/>
      <c r="B579" s="518"/>
      <c r="C579" s="518"/>
      <c r="D579" s="1298" t="s">
        <v>1134</v>
      </c>
      <c r="E579" s="1298"/>
      <c r="F579" s="1298"/>
    </row>
    <row r="580" spans="1:9">
      <c r="A580" s="434"/>
      <c r="B580" s="434"/>
      <c r="C580" s="518"/>
      <c r="D580" s="534"/>
      <c r="I580" s="436" t="s">
        <v>2175</v>
      </c>
    </row>
    <row r="581" spans="1:9">
      <c r="A581" s="518"/>
      <c r="B581" s="520" t="s">
        <v>2688</v>
      </c>
      <c r="D581" s="1298" t="s">
        <v>919</v>
      </c>
      <c r="E581" s="1298"/>
      <c r="F581" s="1298"/>
    </row>
    <row r="582" spans="1:9">
      <c r="A582" s="525"/>
      <c r="B582" s="525"/>
      <c r="D582" s="511"/>
    </row>
    <row r="583" spans="1:9">
      <c r="A583" s="525"/>
      <c r="B583" s="520" t="s">
        <v>2688</v>
      </c>
      <c r="D583" s="1298" t="s">
        <v>2458</v>
      </c>
      <c r="E583" s="1298"/>
      <c r="F583" s="1298"/>
      <c r="I583" s="436" t="s">
        <v>2177</v>
      </c>
    </row>
    <row r="584" spans="1:9">
      <c r="A584" s="525"/>
      <c r="B584" s="525"/>
      <c r="D584" s="1298"/>
      <c r="E584" s="1298"/>
      <c r="F584" s="1298"/>
      <c r="I584" s="436" t="s">
        <v>2176</v>
      </c>
    </row>
    <row r="585" spans="1:9">
      <c r="A585" s="525"/>
      <c r="B585" s="525"/>
      <c r="D585" s="1298"/>
      <c r="E585" s="1298"/>
      <c r="F585" s="1298"/>
    </row>
    <row r="586" spans="1:9">
      <c r="A586" s="525"/>
      <c r="B586" s="525"/>
      <c r="D586" s="1298"/>
      <c r="E586" s="1298"/>
      <c r="F586" s="1298"/>
    </row>
    <row r="587" spans="1:9">
      <c r="A587" s="525"/>
      <c r="B587" s="520" t="s">
        <v>2687</v>
      </c>
      <c r="D587" s="1298" t="s">
        <v>1136</v>
      </c>
      <c r="E587" s="1298"/>
      <c r="F587" s="1298"/>
    </row>
    <row r="588" spans="1:9">
      <c r="A588" s="525"/>
      <c r="B588" s="525"/>
      <c r="D588" s="1298"/>
      <c r="E588" s="1298"/>
      <c r="F588" s="1298"/>
    </row>
    <row r="589" spans="1:9">
      <c r="A589" s="525"/>
      <c r="B589" s="525"/>
      <c r="D589" s="1298"/>
      <c r="E589" s="1298"/>
      <c r="F589" s="1298"/>
    </row>
    <row r="590" spans="1:9">
      <c r="A590" s="525"/>
      <c r="B590" s="525"/>
      <c r="D590" s="1298"/>
      <c r="E590" s="1298"/>
      <c r="F590" s="1298"/>
    </row>
    <row r="591" spans="1:9">
      <c r="A591" s="525"/>
      <c r="B591" s="525"/>
      <c r="D591" s="474"/>
      <c r="E591" s="474"/>
      <c r="F591" s="474"/>
    </row>
    <row r="592" spans="1:9">
      <c r="A592" s="525"/>
      <c r="B592" s="520" t="s">
        <v>2688</v>
      </c>
      <c r="D592" s="1298" t="s">
        <v>2459</v>
      </c>
      <c r="E592" s="1298"/>
      <c r="F592" s="1298"/>
    </row>
    <row r="593" spans="1:9">
      <c r="A593" s="525"/>
      <c r="B593" s="525"/>
      <c r="D593" s="1298"/>
      <c r="E593" s="1298"/>
      <c r="F593" s="1298"/>
    </row>
    <row r="594" spans="1:9">
      <c r="A594" s="525"/>
      <c r="B594" s="525"/>
      <c r="D594" s="534"/>
    </row>
    <row r="595" spans="1:9">
      <c r="A595" s="525"/>
      <c r="B595" s="520" t="s">
        <v>2687</v>
      </c>
      <c r="D595" s="1298" t="s">
        <v>1138</v>
      </c>
      <c r="E595" s="1298"/>
      <c r="F595" s="1298"/>
      <c r="I595" s="436" t="s">
        <v>2224</v>
      </c>
    </row>
    <row r="596" spans="1:9">
      <c r="A596" s="525"/>
      <c r="B596" s="525"/>
      <c r="D596" s="1298"/>
      <c r="E596" s="1298"/>
      <c r="F596" s="1298"/>
    </row>
    <row r="597" spans="1:9" ht="14.4">
      <c r="A597" s="519"/>
      <c r="B597" s="519"/>
      <c r="D597" s="534"/>
    </row>
    <row r="598" spans="1:9">
      <c r="A598" s="1282" t="s">
        <v>1119</v>
      </c>
      <c r="B598" s="1282"/>
      <c r="C598" s="1282"/>
      <c r="D598" s="1282"/>
      <c r="E598" s="1282"/>
      <c r="F598" s="1282"/>
      <c r="G598" s="1282"/>
      <c r="H598" s="1071"/>
      <c r="I598" s="1072"/>
    </row>
    <row r="599" spans="1:9"/>
    <row r="600" spans="1:9">
      <c r="D600" s="1274" t="s">
        <v>1219</v>
      </c>
      <c r="E600" s="1274"/>
      <c r="F600" s="1274"/>
    </row>
    <row r="601" spans="1:9">
      <c r="D601" s="1275" t="s">
        <v>1220</v>
      </c>
      <c r="E601" s="1275"/>
      <c r="F601" s="1275"/>
    </row>
    <row r="602" spans="1:9">
      <c r="D602" s="479"/>
    </row>
    <row r="603" spans="1:9" ht="14.25" customHeight="1">
      <c r="A603" s="519"/>
      <c r="B603" s="520" t="s">
        <v>2688</v>
      </c>
      <c r="D603" s="1338" t="s">
        <v>2288</v>
      </c>
      <c r="E603" s="1338"/>
      <c r="F603" s="1338"/>
      <c r="I603" s="436" t="s">
        <v>2205</v>
      </c>
    </row>
    <row r="604" spans="1:9">
      <c r="D604" s="1338"/>
      <c r="E604" s="1338"/>
      <c r="F604" s="1338"/>
    </row>
    <row r="605" spans="1:9">
      <c r="D605" s="417"/>
      <c r="E605" s="1080" t="s">
        <v>2289</v>
      </c>
      <c r="F605" s="417"/>
    </row>
    <row r="606" spans="1:9"/>
    <row r="607" spans="1:9">
      <c r="A607" s="1282" t="s">
        <v>1120</v>
      </c>
      <c r="B607" s="1282"/>
      <c r="C607" s="1282"/>
      <c r="D607" s="1282"/>
      <c r="E607" s="1282"/>
      <c r="F607" s="1282"/>
      <c r="G607" s="1282"/>
      <c r="H607" s="1071"/>
      <c r="I607" s="1072"/>
    </row>
    <row r="608" spans="1:9">
      <c r="A608" s="481"/>
      <c r="B608" s="481"/>
    </row>
    <row r="609" spans="1:9">
      <c r="A609" s="517"/>
      <c r="B609" s="517"/>
      <c r="C609" s="517"/>
      <c r="D609" s="1277" t="s">
        <v>1222</v>
      </c>
      <c r="E609" s="1277"/>
      <c r="F609" s="1277"/>
    </row>
    <row r="610" spans="1:9">
      <c r="A610" s="517"/>
      <c r="B610" s="517"/>
      <c r="C610" s="517"/>
      <c r="D610" s="1277"/>
      <c r="E610" s="1277"/>
      <c r="F610" s="1277"/>
    </row>
    <row r="611" spans="1:9">
      <c r="C611" s="518"/>
      <c r="D611" s="1275" t="s">
        <v>1223</v>
      </c>
      <c r="E611" s="1275"/>
      <c r="F611" s="1275"/>
    </row>
    <row r="612" spans="1:9">
      <c r="C612" s="518"/>
      <c r="D612" s="479"/>
      <c r="E612" s="479"/>
      <c r="F612" s="479"/>
    </row>
    <row r="613" spans="1:9" ht="12.75" customHeight="1">
      <c r="A613" s="525"/>
      <c r="B613" s="520" t="s">
        <v>2688</v>
      </c>
      <c r="D613" s="1278" t="s">
        <v>1224</v>
      </c>
      <c r="E613" s="1278"/>
      <c r="F613" s="1278"/>
      <c r="I613" s="436" t="s">
        <v>2225</v>
      </c>
    </row>
    <row r="614" spans="1:9">
      <c r="D614" s="1278"/>
      <c r="E614" s="1278"/>
      <c r="F614" s="1278"/>
    </row>
    <row r="615" spans="1:9"/>
    <row r="616" spans="1:9">
      <c r="B616" s="520" t="s">
        <v>2688</v>
      </c>
      <c r="D616" s="1278" t="s">
        <v>1225</v>
      </c>
      <c r="E616" s="1278"/>
      <c r="F616" s="1278"/>
      <c r="I616" s="436" t="s">
        <v>2178</v>
      </c>
    </row>
    <row r="617" spans="1:9">
      <c r="C617" s="535"/>
      <c r="D617" s="1278"/>
      <c r="E617" s="1278"/>
      <c r="F617" s="1278"/>
    </row>
    <row r="618" spans="1:9">
      <c r="C618" s="535"/>
    </row>
    <row r="619" spans="1:9">
      <c r="B619" s="520" t="s">
        <v>2687</v>
      </c>
      <c r="C619" s="535"/>
      <c r="D619" s="1278" t="s">
        <v>1226</v>
      </c>
      <c r="E619" s="1278"/>
      <c r="F619" s="1278"/>
      <c r="I619" s="436" t="s">
        <v>2226</v>
      </c>
    </row>
    <row r="620" spans="1:9">
      <c r="C620" s="535"/>
      <c r="D620" s="1278"/>
      <c r="E620" s="1278"/>
      <c r="F620" s="1278"/>
      <c r="I620" s="1068" t="s">
        <v>2227</v>
      </c>
    </row>
    <row r="621" spans="1:9">
      <c r="C621" s="535"/>
    </row>
    <row r="622" spans="1:9">
      <c r="A622" s="1282" t="s">
        <v>1121</v>
      </c>
      <c r="B622" s="1282"/>
      <c r="C622" s="1282"/>
      <c r="D622" s="1282"/>
      <c r="E622" s="1282"/>
      <c r="F622" s="1282"/>
      <c r="G622" s="1282"/>
      <c r="H622" s="1071"/>
      <c r="I622" s="1072"/>
    </row>
    <row r="623" spans="1:9">
      <c r="A623" s="517"/>
      <c r="B623" s="517"/>
      <c r="C623" s="517"/>
    </row>
    <row r="624" spans="1:9">
      <c r="C624" s="525"/>
      <c r="D624" s="1274" t="s">
        <v>1227</v>
      </c>
      <c r="E624" s="1274"/>
      <c r="F624" s="1274"/>
    </row>
    <row r="625" spans="1:9">
      <c r="A625" s="525"/>
      <c r="B625" s="525"/>
      <c r="D625" s="436"/>
    </row>
    <row r="626" spans="1:9" ht="14.25" customHeight="1">
      <c r="A626" s="519"/>
      <c r="B626" s="520" t="s">
        <v>2688</v>
      </c>
      <c r="D626" s="1338" t="s">
        <v>2460</v>
      </c>
      <c r="E626" s="1338"/>
      <c r="F626" s="1338"/>
      <c r="I626" s="436" t="s">
        <v>2206</v>
      </c>
    </row>
    <row r="627" spans="1:9">
      <c r="D627" s="1338"/>
      <c r="E627" s="1338"/>
      <c r="F627" s="1338"/>
    </row>
    <row r="628" spans="1:9">
      <c r="D628" s="417"/>
      <c r="E628" s="1080" t="s">
        <v>2291</v>
      </c>
      <c r="F628" s="417"/>
    </row>
    <row r="629" spans="1:9">
      <c r="D629" s="1276" t="s">
        <v>2290</v>
      </c>
      <c r="E629" s="1276"/>
      <c r="F629" s="1276"/>
    </row>
    <row r="630" spans="1:9">
      <c r="D630" s="1276"/>
      <c r="E630" s="1276"/>
      <c r="F630" s="1276"/>
    </row>
    <row r="631" spans="1:9">
      <c r="D631" s="1276"/>
      <c r="E631" s="1276"/>
      <c r="F631" s="1276"/>
    </row>
    <row r="632" spans="1:9">
      <c r="D632" s="480"/>
      <c r="E632" s="480"/>
      <c r="F632" s="480"/>
    </row>
    <row r="633" spans="1:9" ht="14.4">
      <c r="A633" s="519"/>
      <c r="B633" s="520" t="s">
        <v>2687</v>
      </c>
      <c r="D633" s="1276" t="s">
        <v>1229</v>
      </c>
      <c r="E633" s="1276"/>
      <c r="F633" s="1276"/>
      <c r="I633" s="436" t="s">
        <v>2228</v>
      </c>
    </row>
    <row r="634" spans="1:9">
      <c r="A634" s="522"/>
      <c r="B634" s="522"/>
      <c r="C634" s="522"/>
      <c r="D634" s="1276"/>
      <c r="E634" s="1276"/>
      <c r="F634" s="1276"/>
    </row>
    <row r="635" spans="1:9">
      <c r="A635" s="522"/>
      <c r="B635" s="522"/>
      <c r="C635" s="522"/>
      <c r="D635" s="481"/>
      <c r="E635" s="481"/>
      <c r="F635" s="481"/>
    </row>
    <row r="636" spans="1:9" ht="14.4">
      <c r="A636" s="519"/>
      <c r="B636" s="520" t="s">
        <v>2687</v>
      </c>
      <c r="C636" s="522"/>
      <c r="D636" s="1276" t="s">
        <v>1371</v>
      </c>
      <c r="E636" s="1276"/>
      <c r="F636" s="1276"/>
      <c r="I636" s="436" t="s">
        <v>2179</v>
      </c>
    </row>
    <row r="637" spans="1:9" ht="14.4">
      <c r="A637" s="519"/>
      <c r="B637" s="519"/>
      <c r="C637" s="522"/>
      <c r="D637" s="1276"/>
      <c r="E637" s="1276"/>
      <c r="F637" s="1276"/>
    </row>
    <row r="638" spans="1:9" ht="14.4">
      <c r="A638" s="519"/>
      <c r="B638" s="519"/>
      <c r="C638" s="522"/>
      <c r="D638" s="1276"/>
      <c r="E638" s="1276"/>
      <c r="F638" s="1276"/>
    </row>
    <row r="639" spans="1:9">
      <c r="A639" s="522"/>
      <c r="B639" s="520" t="s">
        <v>2687</v>
      </c>
      <c r="C639" s="522"/>
      <c r="D639" s="1305" t="s">
        <v>1231</v>
      </c>
      <c r="E639" s="1305"/>
      <c r="F639" s="1305"/>
      <c r="I639" s="436" t="s">
        <v>2179</v>
      </c>
    </row>
    <row r="640" spans="1:9">
      <c r="A640" s="522"/>
      <c r="B640" s="522"/>
      <c r="C640" s="522"/>
      <c r="D640" s="481"/>
      <c r="E640" s="481"/>
      <c r="F640" s="481"/>
    </row>
    <row r="641" spans="1:9">
      <c r="A641" s="1282" t="s">
        <v>1122</v>
      </c>
      <c r="B641" s="1282"/>
      <c r="C641" s="1282"/>
      <c r="D641" s="1282"/>
      <c r="E641" s="1282"/>
      <c r="F641" s="1282"/>
      <c r="G641" s="1282"/>
      <c r="H641" s="1071"/>
      <c r="I641" s="1072"/>
    </row>
    <row r="642" spans="1:9">
      <c r="A642" s="481"/>
      <c r="B642" s="481"/>
      <c r="C642" s="522"/>
      <c r="D642" s="481"/>
      <c r="E642" s="481"/>
      <c r="F642" s="481"/>
    </row>
    <row r="643" spans="1:9">
      <c r="C643" s="517"/>
      <c r="D643" s="1274" t="s">
        <v>1281</v>
      </c>
      <c r="E643" s="1274"/>
      <c r="F643" s="1274"/>
    </row>
    <row r="644" spans="1:9">
      <c r="A644" s="518"/>
      <c r="B644" s="518"/>
      <c r="C644" s="518"/>
      <c r="D644" s="1305" t="s">
        <v>1282</v>
      </c>
      <c r="E644" s="1305"/>
      <c r="F644" s="1305"/>
    </row>
    <row r="645" spans="1:9">
      <c r="A645" s="518"/>
      <c r="B645" s="518"/>
      <c r="C645" s="518"/>
      <c r="D645" s="481"/>
      <c r="E645" s="481"/>
      <c r="F645" s="481"/>
    </row>
    <row r="646" spans="1:9" ht="12.75" customHeight="1">
      <c r="B646" s="520" t="s">
        <v>2688</v>
      </c>
      <c r="C646" s="522"/>
      <c r="D646" s="1276" t="s">
        <v>1444</v>
      </c>
      <c r="E646" s="1276"/>
      <c r="F646" s="1276"/>
      <c r="I646" s="436" t="s">
        <v>2231</v>
      </c>
    </row>
    <row r="647" spans="1:9">
      <c r="D647" s="1276"/>
      <c r="E647" s="1276"/>
      <c r="F647" s="1276"/>
    </row>
    <row r="648" spans="1:9">
      <c r="D648" s="1276"/>
      <c r="E648" s="1276"/>
      <c r="F648" s="1276"/>
    </row>
    <row r="649" spans="1:9">
      <c r="D649" s="1276"/>
      <c r="E649" s="1276"/>
      <c r="F649" s="1276"/>
    </row>
    <row r="650" spans="1:9" ht="14.4" customHeight="1">
      <c r="A650" s="519"/>
      <c r="B650" s="519"/>
      <c r="C650" s="522"/>
      <c r="D650" s="417"/>
      <c r="E650" s="417"/>
      <c r="F650" s="417"/>
    </row>
    <row r="651" spans="1:9" ht="12.75" customHeight="1">
      <c r="A651" s="518"/>
      <c r="B651" s="520" t="s">
        <v>2687</v>
      </c>
      <c r="C651" s="522"/>
      <c r="D651" s="1276" t="s">
        <v>1446</v>
      </c>
      <c r="E651" s="1276"/>
      <c r="F651" s="1276"/>
      <c r="I651" s="436" t="s">
        <v>2231</v>
      </c>
    </row>
    <row r="652" spans="1:9" ht="14.4">
      <c r="A652" s="518"/>
      <c r="B652" s="519"/>
      <c r="C652" s="522"/>
      <c r="D652" s="1276"/>
      <c r="E652" s="1276"/>
      <c r="F652" s="1276"/>
    </row>
    <row r="653" spans="1:9" ht="14.4">
      <c r="A653" s="518"/>
      <c r="B653" s="519"/>
      <c r="C653" s="522"/>
      <c r="D653" s="1276"/>
      <c r="E653" s="1276"/>
      <c r="F653" s="1276"/>
    </row>
    <row r="654" spans="1:9" ht="14.4">
      <c r="A654" s="518"/>
      <c r="B654" s="519"/>
      <c r="C654" s="522"/>
      <c r="D654" s="1276"/>
      <c r="E654" s="1276"/>
      <c r="F654" s="1276"/>
    </row>
    <row r="655" spans="1:9" ht="14.4">
      <c r="A655" s="518"/>
      <c r="B655" s="519"/>
      <c r="C655" s="522"/>
      <c r="D655" s="1276"/>
      <c r="E655" s="1276"/>
      <c r="F655" s="1276"/>
    </row>
    <row r="656" spans="1:9" ht="14.25" customHeight="1">
      <c r="A656" s="518"/>
      <c r="B656" s="519"/>
      <c r="C656" s="522"/>
      <c r="F656" s="418"/>
    </row>
    <row r="657" spans="1:11" ht="12.75" customHeight="1">
      <c r="A657" s="518"/>
      <c r="B657" s="520" t="s">
        <v>2687</v>
      </c>
      <c r="C657" s="522"/>
      <c r="D657" s="1276" t="s">
        <v>1445</v>
      </c>
      <c r="E657" s="1276"/>
      <c r="F657" s="1276"/>
      <c r="I657" s="436" t="s">
        <v>2231</v>
      </c>
    </row>
    <row r="658" spans="1:11" ht="14.4">
      <c r="A658" s="518"/>
      <c r="B658" s="519"/>
      <c r="C658" s="522"/>
      <c r="D658" s="1276"/>
      <c r="E658" s="1276"/>
      <c r="F658" s="1276"/>
    </row>
    <row r="659" spans="1:11" ht="14.4">
      <c r="A659" s="519"/>
      <c r="B659" s="519"/>
      <c r="C659" s="522"/>
      <c r="D659" s="1276"/>
      <c r="E659" s="1276"/>
      <c r="F659" s="1276"/>
    </row>
    <row r="660" spans="1:11" ht="14.4">
      <c r="A660" s="519"/>
      <c r="B660" s="519"/>
      <c r="C660" s="522"/>
      <c r="D660" s="1276"/>
      <c r="E660" s="1276"/>
      <c r="F660" s="1276"/>
    </row>
    <row r="661" spans="1:11" ht="14.4">
      <c r="A661" s="519"/>
      <c r="B661" s="519"/>
      <c r="C661" s="522"/>
      <c r="D661" s="480"/>
      <c r="E661" s="480"/>
      <c r="F661" s="480"/>
    </row>
    <row r="662" spans="1:11" ht="12.75" customHeight="1">
      <c r="A662" s="518"/>
      <c r="B662" s="520" t="s">
        <v>2687</v>
      </c>
      <c r="C662" s="522"/>
      <c r="D662" s="1276" t="s">
        <v>2461</v>
      </c>
      <c r="E662" s="1276"/>
      <c r="F662" s="1276"/>
      <c r="I662" s="436" t="s">
        <v>2231</v>
      </c>
    </row>
    <row r="663" spans="1:11" ht="12.75" customHeight="1">
      <c r="A663" s="518"/>
      <c r="B663" s="519"/>
      <c r="C663" s="522"/>
      <c r="D663" s="1276"/>
      <c r="E663" s="1276"/>
      <c r="F663" s="1276"/>
    </row>
    <row r="664" spans="1:11" ht="12.75" customHeight="1">
      <c r="A664" s="518"/>
      <c r="B664" s="519"/>
      <c r="C664" s="522"/>
      <c r="D664" s="1276"/>
      <c r="E664" s="1276"/>
      <c r="F664" s="1276"/>
    </row>
    <row r="665" spans="1:11" ht="12.75" customHeight="1">
      <c r="A665" s="518"/>
      <c r="B665" s="519"/>
      <c r="C665" s="522"/>
      <c r="D665" s="1276"/>
      <c r="E665" s="1276"/>
      <c r="F665" s="1276"/>
    </row>
    <row r="666" spans="1:11" ht="12.75" customHeight="1">
      <c r="A666" s="518"/>
      <c r="B666" s="519"/>
      <c r="C666" s="522"/>
      <c r="D666" s="1276"/>
      <c r="E666" s="1276"/>
      <c r="F666" s="1276"/>
    </row>
    <row r="667" spans="1:11" ht="12.75" customHeight="1">
      <c r="A667" s="518"/>
      <c r="B667" s="519"/>
      <c r="C667" s="522"/>
      <c r="D667" s="1276"/>
      <c r="E667" s="1276"/>
      <c r="F667" s="1276"/>
    </row>
    <row r="668" spans="1:11" ht="12.75" customHeight="1">
      <c r="A668" s="518"/>
      <c r="B668" s="519"/>
      <c r="C668" s="522"/>
      <c r="D668" s="1276"/>
      <c r="E668" s="1276"/>
      <c r="F668" s="1276"/>
    </row>
    <row r="669" spans="1:11" ht="12.75" customHeight="1">
      <c r="A669" s="518"/>
      <c r="B669" s="519"/>
      <c r="C669" s="522"/>
      <c r="D669" s="1276"/>
      <c r="E669" s="1276"/>
      <c r="F669" s="1276"/>
    </row>
    <row r="670" spans="1:11" ht="12.75" customHeight="1">
      <c r="A670" s="518"/>
      <c r="B670" s="519"/>
      <c r="C670" s="522"/>
      <c r="D670" s="1276"/>
      <c r="E670" s="1276"/>
      <c r="F670" s="1276"/>
    </row>
    <row r="671" spans="1:11">
      <c r="A671" s="522"/>
      <c r="B671" s="522"/>
      <c r="C671" s="522"/>
      <c r="D671" s="481"/>
      <c r="E671" s="481"/>
      <c r="F671" s="481"/>
    </row>
    <row r="672" spans="1:11">
      <c r="A672" s="1282" t="s">
        <v>1123</v>
      </c>
      <c r="B672" s="1282"/>
      <c r="C672" s="1282"/>
      <c r="D672" s="1282"/>
      <c r="E672" s="1282"/>
      <c r="F672" s="1282"/>
      <c r="G672" s="1282"/>
      <c r="H672" s="1073"/>
      <c r="I672" s="1074"/>
      <c r="J672" s="536"/>
      <c r="K672" s="536"/>
    </row>
    <row r="673" spans="1:11">
      <c r="A673" s="483"/>
      <c r="B673" s="483"/>
      <c r="C673" s="483"/>
      <c r="D673" s="483"/>
      <c r="E673" s="483"/>
      <c r="F673" s="483"/>
      <c r="G673" s="483"/>
      <c r="H673" s="536"/>
      <c r="I673" s="1065"/>
      <c r="J673" s="536"/>
      <c r="K673" s="536"/>
    </row>
    <row r="674" spans="1:11">
      <c r="C674" s="517"/>
      <c r="D674" s="1274" t="s">
        <v>100</v>
      </c>
      <c r="E674" s="1274"/>
      <c r="F674" s="1274"/>
      <c r="H674" s="536"/>
      <c r="I674" s="1065"/>
      <c r="J674" s="536"/>
      <c r="K674" s="536"/>
    </row>
    <row r="675" spans="1:11">
      <c r="A675" s="517"/>
      <c r="B675" s="517"/>
      <c r="C675" s="517"/>
      <c r="D675" s="1274" t="s">
        <v>124</v>
      </c>
      <c r="E675" s="1274"/>
      <c r="F675" s="1274"/>
      <c r="H675" s="536"/>
      <c r="I675" s="1065"/>
      <c r="J675" s="536"/>
      <c r="K675" s="536"/>
    </row>
    <row r="676" spans="1:11">
      <c r="A676" s="518"/>
      <c r="B676" s="518"/>
      <c r="C676" s="518"/>
      <c r="D676" s="1305" t="s">
        <v>1159</v>
      </c>
      <c r="E676" s="1305"/>
      <c r="F676" s="1305"/>
      <c r="H676" s="536"/>
      <c r="I676" s="1065"/>
      <c r="J676" s="536"/>
      <c r="K676" s="536"/>
    </row>
    <row r="677" spans="1:11">
      <c r="A677" s="518"/>
      <c r="B677" s="518"/>
      <c r="C677" s="518"/>
      <c r="H677" s="536"/>
      <c r="I677" s="1065"/>
      <c r="J677" s="536"/>
      <c r="K677" s="536"/>
    </row>
    <row r="678" spans="1:11" ht="14.4">
      <c r="A678" s="519"/>
      <c r="B678" s="520" t="s">
        <v>2688</v>
      </c>
      <c r="C678" s="518"/>
      <c r="D678" s="1305" t="s">
        <v>915</v>
      </c>
      <c r="E678" s="1305"/>
      <c r="F678" s="1305"/>
      <c r="H678" s="536"/>
      <c r="I678" s="1065" t="s">
        <v>2207</v>
      </c>
      <c r="J678" s="536"/>
      <c r="K678" s="536"/>
    </row>
    <row r="679" spans="1:11">
      <c r="A679" s="518"/>
      <c r="B679" s="518"/>
      <c r="C679" s="518"/>
      <c r="D679" s="1305" t="s">
        <v>926</v>
      </c>
      <c r="E679" s="1305"/>
      <c r="F679" s="1305"/>
      <c r="H679" s="536"/>
      <c r="I679" s="1065"/>
      <c r="J679" s="536"/>
      <c r="K679" s="536"/>
    </row>
    <row r="680" spans="1:11" ht="12.75" customHeight="1">
      <c r="A680" s="518"/>
      <c r="B680" s="518"/>
      <c r="C680" s="518"/>
      <c r="E680" s="1080" t="s">
        <v>2293</v>
      </c>
      <c r="F680" s="452"/>
      <c r="H680" s="536"/>
      <c r="I680" s="1065"/>
      <c r="J680" s="536"/>
      <c r="K680" s="536"/>
    </row>
    <row r="681" spans="1:11">
      <c r="A681" s="518"/>
      <c r="B681" s="518"/>
      <c r="C681" s="518"/>
      <c r="E681" s="536" t="s">
        <v>2292</v>
      </c>
      <c r="F681" s="452"/>
      <c r="I681" s="1065"/>
      <c r="J681" s="536"/>
      <c r="K681" s="536"/>
    </row>
    <row r="682" spans="1:11">
      <c r="A682" s="518"/>
      <c r="B682" s="518"/>
      <c r="C682" s="518"/>
      <c r="D682" s="537"/>
      <c r="E682" s="481"/>
      <c r="H682" s="536"/>
      <c r="I682" s="1065"/>
      <c r="J682" s="536"/>
      <c r="K682" s="536"/>
    </row>
    <row r="683" spans="1:11" ht="14.4">
      <c r="A683" s="519"/>
      <c r="B683" s="520" t="s">
        <v>2687</v>
      </c>
      <c r="C683" s="518"/>
      <c r="D683" s="1276" t="s">
        <v>2462</v>
      </c>
      <c r="E683" s="1276"/>
      <c r="F683" s="1276"/>
      <c r="H683" s="536"/>
      <c r="I683" s="1065" t="s">
        <v>2229</v>
      </c>
      <c r="J683" s="536"/>
      <c r="K683" s="536"/>
    </row>
    <row r="684" spans="1:11">
      <c r="A684" s="525"/>
      <c r="B684" s="525"/>
      <c r="C684" s="518"/>
      <c r="D684" s="1276"/>
      <c r="E684" s="1276"/>
      <c r="F684" s="1276"/>
      <c r="H684" s="536"/>
      <c r="I684" s="1065"/>
      <c r="J684" s="536"/>
      <c r="K684" s="536"/>
    </row>
    <row r="685" spans="1:11">
      <c r="A685" s="518"/>
      <c r="B685" s="518"/>
      <c r="C685" s="518"/>
      <c r="D685" s="1276"/>
      <c r="E685" s="1276"/>
      <c r="F685" s="1276"/>
      <c r="H685" s="536"/>
      <c r="I685" s="1065"/>
      <c r="J685" s="536"/>
      <c r="K685" s="536"/>
    </row>
    <row r="686" spans="1:11">
      <c r="A686" s="518"/>
      <c r="B686" s="518"/>
      <c r="C686" s="518"/>
      <c r="H686" s="536"/>
      <c r="I686" s="1065" t="s">
        <v>2208</v>
      </c>
      <c r="J686" s="536"/>
      <c r="K686" s="536"/>
    </row>
    <row r="687" spans="1:11" ht="14.4">
      <c r="A687" s="519"/>
      <c r="B687" s="520" t="s">
        <v>2688</v>
      </c>
      <c r="C687" s="518"/>
      <c r="D687" s="1305" t="s">
        <v>954</v>
      </c>
      <c r="E687" s="1305"/>
      <c r="F687" s="1305"/>
      <c r="H687" s="536"/>
      <c r="I687" s="1065"/>
      <c r="J687" s="536"/>
      <c r="K687" s="536"/>
    </row>
    <row r="688" spans="1:11" ht="14.4">
      <c r="A688" s="519"/>
      <c r="B688" s="519"/>
      <c r="C688" s="518"/>
      <c r="D688" s="1305" t="s">
        <v>926</v>
      </c>
      <c r="E688" s="1305"/>
      <c r="F688" s="1305"/>
      <c r="H688" s="536"/>
      <c r="I688" s="1065"/>
      <c r="J688" s="536"/>
      <c r="K688" s="536"/>
    </row>
    <row r="689" spans="1:11">
      <c r="A689" s="518"/>
      <c r="B689" s="518"/>
      <c r="C689" s="518"/>
      <c r="E689" s="1080" t="s">
        <v>2294</v>
      </c>
      <c r="F689" s="436"/>
      <c r="H689" s="536"/>
      <c r="I689" s="1065"/>
      <c r="J689" s="536"/>
      <c r="K689" s="536"/>
    </row>
    <row r="690" spans="1:11">
      <c r="A690" s="518"/>
      <c r="B690" s="518"/>
      <c r="C690" s="518"/>
      <c r="D690" s="436"/>
      <c r="H690" s="536"/>
      <c r="I690" s="1065"/>
      <c r="J690" s="536"/>
      <c r="K690" s="536"/>
    </row>
    <row r="691" spans="1:11" ht="14.4">
      <c r="A691" s="519"/>
      <c r="B691" s="520" t="s">
        <v>2687</v>
      </c>
      <c r="C691" s="518"/>
      <c r="D691" s="1276" t="s">
        <v>1172</v>
      </c>
      <c r="E691" s="1276"/>
      <c r="F691" s="1276"/>
      <c r="H691" s="536"/>
      <c r="I691" s="1065" t="s">
        <v>2180</v>
      </c>
      <c r="J691" s="536"/>
      <c r="K691" s="536"/>
    </row>
    <row r="692" spans="1:11">
      <c r="A692" s="518"/>
      <c r="B692" s="518"/>
      <c r="C692" s="518"/>
      <c r="D692" s="1276"/>
      <c r="E692" s="1276"/>
      <c r="F692" s="1276"/>
      <c r="H692" s="536"/>
      <c r="I692" s="1065"/>
      <c r="J692" s="536"/>
      <c r="K692" s="536"/>
    </row>
    <row r="693" spans="1:11">
      <c r="A693" s="518"/>
      <c r="B693" s="518"/>
      <c r="C693" s="518"/>
      <c r="D693" s="1276"/>
      <c r="E693" s="1276"/>
      <c r="F693" s="1276"/>
      <c r="H693" s="536"/>
      <c r="I693" s="1065"/>
      <c r="J693" s="536"/>
      <c r="K693" s="536"/>
    </row>
    <row r="694" spans="1:11">
      <c r="A694" s="518"/>
      <c r="B694" s="518"/>
      <c r="C694" s="518"/>
      <c r="D694" s="1276"/>
      <c r="E694" s="1276"/>
      <c r="F694" s="1276"/>
      <c r="H694" s="536"/>
      <c r="I694" s="1065"/>
      <c r="J694" s="536"/>
      <c r="K694" s="536"/>
    </row>
    <row r="695" spans="1:11">
      <c r="A695" s="518"/>
      <c r="B695" s="518"/>
      <c r="C695" s="518"/>
      <c r="D695" s="1276"/>
      <c r="E695" s="1276"/>
      <c r="F695" s="1276"/>
      <c r="H695" s="536"/>
      <c r="I695" s="1065"/>
      <c r="J695" s="536"/>
      <c r="K695" s="536"/>
    </row>
    <row r="696" spans="1:11">
      <c r="A696" s="518"/>
      <c r="B696" s="518"/>
      <c r="C696" s="518"/>
      <c r="D696" s="1276"/>
      <c r="E696" s="1276"/>
      <c r="F696" s="1276"/>
      <c r="H696" s="536"/>
      <c r="I696" s="1065"/>
      <c r="J696" s="536"/>
      <c r="K696" s="536"/>
    </row>
    <row r="697" spans="1:11">
      <c r="A697" s="518"/>
      <c r="B697" s="518"/>
      <c r="C697" s="518"/>
      <c r="D697" s="480"/>
      <c r="E697" s="480"/>
      <c r="F697" s="480"/>
      <c r="H697" s="536"/>
      <c r="I697" s="1065"/>
      <c r="J697" s="536"/>
      <c r="K697" s="536"/>
    </row>
    <row r="698" spans="1:11">
      <c r="A698" s="518"/>
      <c r="B698" s="520" t="s">
        <v>2687</v>
      </c>
      <c r="C698" s="518"/>
      <c r="D698" s="1276" t="s">
        <v>1343</v>
      </c>
      <c r="E698" s="1276"/>
      <c r="F698" s="1276"/>
      <c r="H698" s="536"/>
      <c r="I698" s="1065" t="s">
        <v>2180</v>
      </c>
      <c r="J698" s="536"/>
      <c r="K698" s="536"/>
    </row>
    <row r="699" spans="1:11">
      <c r="A699" s="518"/>
      <c r="B699" s="518"/>
      <c r="C699" s="518"/>
      <c r="D699" s="1276"/>
      <c r="E699" s="1276"/>
      <c r="F699" s="1276"/>
      <c r="H699" s="536"/>
      <c r="I699" s="1065"/>
      <c r="J699" s="536"/>
      <c r="K699" s="536"/>
    </row>
    <row r="700" spans="1:11">
      <c r="A700" s="518"/>
      <c r="B700" s="518"/>
      <c r="C700" s="518"/>
      <c r="D700" s="480"/>
      <c r="E700" s="480"/>
      <c r="F700" s="480"/>
      <c r="H700" s="536"/>
      <c r="I700" s="1065"/>
      <c r="J700" s="536"/>
      <c r="K700" s="536"/>
    </row>
    <row r="701" spans="1:11" ht="14.4">
      <c r="A701" s="519"/>
      <c r="B701" s="520" t="s">
        <v>2687</v>
      </c>
      <c r="C701" s="518"/>
      <c r="D701" s="1276" t="s">
        <v>1163</v>
      </c>
      <c r="E701" s="1276"/>
      <c r="F701" s="1276"/>
      <c r="H701" s="536"/>
      <c r="I701" s="1065" t="s">
        <v>2180</v>
      </c>
      <c r="J701" s="536"/>
      <c r="K701" s="536"/>
    </row>
    <row r="702" spans="1:11">
      <c r="A702" s="518"/>
      <c r="B702" s="518"/>
      <c r="C702" s="518"/>
      <c r="D702" s="1276"/>
      <c r="E702" s="1276"/>
      <c r="F702" s="1276"/>
      <c r="H702" s="536"/>
      <c r="I702" s="1065"/>
      <c r="J702" s="536"/>
      <c r="K702" s="536"/>
    </row>
    <row r="703" spans="1:11">
      <c r="A703" s="518"/>
      <c r="B703" s="518"/>
      <c r="C703" s="518"/>
      <c r="D703" s="1276"/>
      <c r="E703" s="1276"/>
      <c r="F703" s="1276"/>
      <c r="H703" s="536"/>
      <c r="I703" s="1065"/>
      <c r="J703" s="536"/>
      <c r="K703" s="536"/>
    </row>
    <row r="704" spans="1:11" ht="15" customHeight="1">
      <c r="A704" s="518"/>
      <c r="B704" s="518"/>
      <c r="C704" s="518"/>
      <c r="D704" s="1276"/>
      <c r="E704" s="1276"/>
      <c r="F704" s="1276"/>
      <c r="H704" s="536"/>
      <c r="I704" s="1065"/>
      <c r="J704" s="536"/>
      <c r="K704" s="536"/>
    </row>
    <row r="705" spans="1:11" ht="15" customHeight="1">
      <c r="A705" s="518"/>
      <c r="B705" s="518"/>
      <c r="C705" s="518"/>
      <c r="D705" s="1276"/>
      <c r="E705" s="1276"/>
      <c r="F705" s="1276"/>
      <c r="H705" s="536"/>
      <c r="I705" s="1065"/>
      <c r="J705" s="536"/>
      <c r="K705" s="536"/>
    </row>
    <row r="706" spans="1:11">
      <c r="A706" s="518"/>
      <c r="B706" s="518"/>
      <c r="C706" s="518"/>
      <c r="D706" s="1276"/>
      <c r="E706" s="1276"/>
      <c r="F706" s="1276"/>
      <c r="H706" s="536"/>
      <c r="I706" s="1065"/>
      <c r="J706" s="536"/>
      <c r="K706" s="536"/>
    </row>
    <row r="707" spans="1:11">
      <c r="A707" s="518"/>
      <c r="B707" s="518"/>
      <c r="C707" s="518"/>
      <c r="D707" s="1276"/>
      <c r="E707" s="1276"/>
      <c r="F707" s="1276"/>
      <c r="H707" s="536"/>
      <c r="I707" s="1065"/>
      <c r="J707" s="536"/>
      <c r="K707" s="536"/>
    </row>
    <row r="708" spans="1:11">
      <c r="A708" s="518"/>
      <c r="B708" s="518"/>
      <c r="C708" s="518"/>
      <c r="D708" s="1276"/>
      <c r="E708" s="1276"/>
      <c r="F708" s="1276"/>
      <c r="H708" s="536"/>
      <c r="I708" s="1065"/>
      <c r="J708" s="536"/>
      <c r="K708" s="536"/>
    </row>
    <row r="709" spans="1:11" ht="15" customHeight="1">
      <c r="A709" s="518"/>
      <c r="B709" s="518"/>
      <c r="C709" s="518"/>
      <c r="D709" s="1276"/>
      <c r="E709" s="1276"/>
      <c r="F709" s="1276"/>
      <c r="H709" s="536"/>
      <c r="I709" s="1065"/>
      <c r="J709" s="536"/>
      <c r="K709" s="536"/>
    </row>
    <row r="710" spans="1:11">
      <c r="A710" s="518"/>
      <c r="B710" s="518"/>
      <c r="C710" s="518"/>
      <c r="D710" s="1276"/>
      <c r="E710" s="1276"/>
      <c r="F710" s="1276"/>
      <c r="H710" s="536"/>
      <c r="I710" s="1065"/>
      <c r="J710" s="536"/>
      <c r="K710" s="536"/>
    </row>
    <row r="711" spans="1:11">
      <c r="A711" s="518"/>
      <c r="B711" s="518"/>
      <c r="C711" s="518"/>
      <c r="D711" s="1276"/>
      <c r="E711" s="1276"/>
      <c r="F711" s="1276"/>
      <c r="H711" s="536"/>
      <c r="I711" s="1065"/>
      <c r="J711" s="536"/>
      <c r="K711" s="536"/>
    </row>
    <row r="712" spans="1:11">
      <c r="A712" s="518"/>
      <c r="B712" s="518"/>
      <c r="C712" s="518"/>
      <c r="D712" s="1276"/>
      <c r="E712" s="1276"/>
      <c r="F712" s="1276"/>
      <c r="H712" s="536"/>
      <c r="I712" s="1065"/>
      <c r="J712" s="536"/>
      <c r="K712" s="536"/>
    </row>
    <row r="713" spans="1:11">
      <c r="A713" s="518"/>
      <c r="B713" s="518"/>
      <c r="C713" s="518"/>
      <c r="D713" s="1276"/>
      <c r="E713" s="1276"/>
      <c r="F713" s="1276"/>
      <c r="H713" s="536"/>
      <c r="I713" s="1065"/>
      <c r="J713" s="536"/>
      <c r="K713" s="536"/>
    </row>
    <row r="714" spans="1:11">
      <c r="A714" s="518"/>
      <c r="B714" s="520" t="s">
        <v>2687</v>
      </c>
      <c r="C714" s="518"/>
      <c r="D714" s="1276" t="s">
        <v>1170</v>
      </c>
      <c r="E714" s="1276"/>
      <c r="F714" s="1276"/>
      <c r="H714" s="536"/>
      <c r="I714" s="1065" t="s">
        <v>2230</v>
      </c>
      <c r="J714" s="536"/>
      <c r="K714" s="536"/>
    </row>
    <row r="715" spans="1:11">
      <c r="A715" s="518"/>
      <c r="B715" s="518"/>
      <c r="C715" s="518"/>
      <c r="D715" s="1276"/>
      <c r="E715" s="1276"/>
      <c r="F715" s="1276"/>
      <c r="H715" s="536"/>
      <c r="I715" s="1065"/>
      <c r="J715" s="536"/>
      <c r="K715" s="536"/>
    </row>
    <row r="716" spans="1:11">
      <c r="A716" s="518"/>
      <c r="B716" s="518"/>
      <c r="C716" s="518"/>
      <c r="D716" s="480"/>
      <c r="E716" s="480"/>
      <c r="F716" s="480"/>
      <c r="H716" s="536"/>
      <c r="I716" s="1065"/>
      <c r="J716" s="536"/>
      <c r="K716" s="536"/>
    </row>
    <row r="717" spans="1:11">
      <c r="A717" s="518"/>
      <c r="B717" s="520" t="s">
        <v>2687</v>
      </c>
      <c r="C717" s="518"/>
      <c r="D717" s="1276" t="s">
        <v>1164</v>
      </c>
      <c r="E717" s="1276"/>
      <c r="F717" s="1276"/>
      <c r="H717" s="536"/>
      <c r="I717" s="1065" t="s">
        <v>2230</v>
      </c>
      <c r="J717" s="536"/>
      <c r="K717" s="536"/>
    </row>
    <row r="718" spans="1:11">
      <c r="A718" s="518"/>
      <c r="B718" s="518"/>
      <c r="C718" s="518"/>
      <c r="D718" s="1276"/>
      <c r="E718" s="1276"/>
      <c r="F718" s="1276"/>
      <c r="H718" s="536"/>
      <c r="I718" s="1065"/>
      <c r="J718" s="536"/>
      <c r="K718" s="536"/>
    </row>
    <row r="719" spans="1:11">
      <c r="A719" s="518"/>
      <c r="B719" s="518"/>
      <c r="C719" s="518"/>
      <c r="D719" s="1276"/>
      <c r="E719" s="1276"/>
      <c r="F719" s="1276"/>
      <c r="H719" s="536"/>
      <c r="I719" s="1065"/>
      <c r="J719" s="536"/>
      <c r="K719" s="536"/>
    </row>
    <row r="720" spans="1:11">
      <c r="A720" s="518"/>
      <c r="B720" s="518"/>
      <c r="C720" s="518"/>
      <c r="H720" s="536"/>
      <c r="I720" s="1065"/>
      <c r="J720" s="536"/>
      <c r="K720" s="536"/>
    </row>
    <row r="721" spans="1:11">
      <c r="A721" s="518"/>
      <c r="B721" s="520" t="s">
        <v>2687</v>
      </c>
      <c r="C721" s="518"/>
      <c r="D721" s="1276" t="s">
        <v>1165</v>
      </c>
      <c r="E721" s="1276"/>
      <c r="F721" s="1276"/>
      <c r="H721" s="536"/>
      <c r="I721" s="1065" t="s">
        <v>2230</v>
      </c>
      <c r="J721" s="536"/>
      <c r="K721" s="536"/>
    </row>
    <row r="722" spans="1:11">
      <c r="A722" s="518"/>
      <c r="B722" s="518"/>
      <c r="C722" s="518"/>
      <c r="D722" s="1276"/>
      <c r="E722" s="1276"/>
      <c r="F722" s="1276"/>
      <c r="H722" s="536"/>
      <c r="I722" s="1065"/>
      <c r="J722" s="536"/>
      <c r="K722" s="536"/>
    </row>
    <row r="723" spans="1:11">
      <c r="A723" s="518"/>
      <c r="B723" s="518"/>
      <c r="C723" s="518"/>
      <c r="D723" s="1276"/>
      <c r="E723" s="1276"/>
      <c r="F723" s="1276"/>
      <c r="H723" s="536"/>
      <c r="I723" s="1065"/>
      <c r="J723" s="536"/>
      <c r="K723" s="536"/>
    </row>
    <row r="724" spans="1:11">
      <c r="A724" s="518"/>
      <c r="B724" s="518"/>
      <c r="C724" s="518"/>
      <c r="H724" s="536"/>
      <c r="I724" s="1065"/>
      <c r="J724" s="536"/>
      <c r="K724" s="536"/>
    </row>
    <row r="725" spans="1:11" ht="14.4">
      <c r="A725" s="519"/>
      <c r="B725" s="520" t="s">
        <v>2687</v>
      </c>
      <c r="C725" s="518"/>
      <c r="D725" s="1276" t="s">
        <v>1166</v>
      </c>
      <c r="E725" s="1276"/>
      <c r="F725" s="1276"/>
      <c r="H725" s="536"/>
      <c r="I725" s="1065" t="s">
        <v>2181</v>
      </c>
      <c r="J725" s="536"/>
      <c r="K725" s="536"/>
    </row>
    <row r="726" spans="1:11">
      <c r="A726" s="518"/>
      <c r="B726" s="518"/>
      <c r="C726" s="518"/>
      <c r="D726" s="1276"/>
      <c r="E726" s="1276"/>
      <c r="F726" s="1276"/>
      <c r="H726" s="536"/>
      <c r="I726" s="1065"/>
      <c r="J726" s="536"/>
      <c r="K726" s="536"/>
    </row>
    <row r="727" spans="1:11">
      <c r="A727" s="518"/>
      <c r="B727" s="518"/>
      <c r="C727" s="518"/>
      <c r="D727" s="1276"/>
      <c r="E727" s="1276"/>
      <c r="F727" s="1276"/>
      <c r="H727" s="536"/>
      <c r="I727" s="1065"/>
      <c r="J727" s="536"/>
      <c r="K727" s="536"/>
    </row>
    <row r="728" spans="1:11">
      <c r="A728" s="518"/>
      <c r="B728" s="518"/>
      <c r="C728" s="518"/>
      <c r="D728" s="1276"/>
      <c r="E728" s="1276"/>
      <c r="F728" s="1276"/>
      <c r="H728" s="536"/>
      <c r="I728" s="1065"/>
      <c r="J728" s="536"/>
      <c r="K728" s="536"/>
    </row>
    <row r="729" spans="1:11">
      <c r="A729" s="518"/>
      <c r="B729" s="518"/>
      <c r="C729" s="518"/>
      <c r="D729" s="527"/>
      <c r="H729" s="536"/>
      <c r="I729" s="1065"/>
      <c r="J729" s="536"/>
      <c r="K729" s="536"/>
    </row>
    <row r="730" spans="1:11" ht="14.4">
      <c r="A730" s="519"/>
      <c r="B730" s="520" t="s">
        <v>2687</v>
      </c>
      <c r="C730" s="518"/>
      <c r="D730" s="1276" t="s">
        <v>2617</v>
      </c>
      <c r="E730" s="1276"/>
      <c r="F730" s="1276"/>
      <c r="H730" s="536"/>
      <c r="I730" s="1065" t="s">
        <v>2197</v>
      </c>
      <c r="J730" s="536"/>
      <c r="K730" s="536"/>
    </row>
    <row r="731" spans="1:11">
      <c r="A731" s="518"/>
      <c r="B731" s="518"/>
      <c r="C731" s="518"/>
      <c r="D731" s="1276"/>
      <c r="E731" s="1276"/>
      <c r="F731" s="1276"/>
      <c r="H731" s="536"/>
      <c r="I731" s="1065"/>
      <c r="J731" s="536"/>
      <c r="K731" s="536"/>
    </row>
    <row r="732" spans="1:11">
      <c r="A732" s="518"/>
      <c r="B732" s="518"/>
      <c r="C732" s="518"/>
      <c r="D732" s="1276"/>
      <c r="E732" s="1276"/>
      <c r="F732" s="1276"/>
      <c r="H732" s="536"/>
      <c r="I732" s="1065"/>
      <c r="J732" s="536"/>
      <c r="K732" s="536"/>
    </row>
    <row r="733" spans="1:11">
      <c r="A733" s="518"/>
      <c r="B733" s="518"/>
      <c r="C733" s="518"/>
      <c r="D733" s="1276"/>
      <c r="E733" s="1276"/>
      <c r="F733" s="1276"/>
      <c r="H733" s="536"/>
      <c r="I733" s="1065"/>
      <c r="J733" s="536"/>
      <c r="K733" s="536"/>
    </row>
    <row r="734" spans="1:11">
      <c r="A734" s="518"/>
      <c r="B734" s="518"/>
      <c r="C734" s="518"/>
      <c r="D734" s="1276"/>
      <c r="E734" s="1276"/>
      <c r="F734" s="1276"/>
      <c r="H734" s="536"/>
      <c r="I734" s="1065"/>
      <c r="J734" s="536"/>
      <c r="K734" s="536"/>
    </row>
    <row r="735" spans="1:11">
      <c r="A735" s="518"/>
      <c r="B735" s="518"/>
      <c r="C735" s="518"/>
      <c r="D735" s="1276"/>
      <c r="E735" s="1276"/>
      <c r="F735" s="1276"/>
      <c r="H735" s="536"/>
      <c r="I735" s="1065"/>
      <c r="J735" s="536"/>
      <c r="K735" s="536"/>
    </row>
    <row r="736" spans="1:11">
      <c r="A736" s="518"/>
      <c r="B736" s="518"/>
      <c r="C736" s="518"/>
      <c r="D736" s="1276"/>
      <c r="E736" s="1276"/>
      <c r="F736" s="1276"/>
      <c r="H736" s="536"/>
      <c r="I736" s="1065"/>
      <c r="J736" s="536"/>
      <c r="K736" s="536"/>
    </row>
    <row r="737" spans="1:11">
      <c r="A737" s="518"/>
      <c r="B737" s="518"/>
      <c r="C737" s="518"/>
      <c r="D737" s="1288" t="s">
        <v>2471</v>
      </c>
      <c r="E737" s="1288"/>
      <c r="F737" s="1288"/>
      <c r="H737" s="536"/>
      <c r="I737" s="1065"/>
      <c r="J737" s="536"/>
      <c r="K737" s="536"/>
    </row>
    <row r="738" spans="1:11">
      <c r="A738" s="518"/>
      <c r="B738" s="518"/>
      <c r="C738" s="518"/>
      <c r="D738" s="370"/>
      <c r="H738" s="536"/>
      <c r="I738" s="1065"/>
      <c r="J738" s="536"/>
      <c r="K738" s="536"/>
    </row>
    <row r="739" spans="1:11">
      <c r="A739" s="1283" t="s">
        <v>1124</v>
      </c>
      <c r="B739" s="1283"/>
      <c r="C739" s="1283"/>
      <c r="D739" s="1283"/>
      <c r="E739" s="1283"/>
      <c r="F739" s="1283"/>
      <c r="G739" s="1283"/>
      <c r="H739" s="1073"/>
      <c r="I739" s="1074"/>
      <c r="J739" s="536"/>
      <c r="K739" s="536"/>
    </row>
    <row r="740" spans="1:11">
      <c r="A740" s="518"/>
      <c r="B740" s="518"/>
      <c r="C740" s="518"/>
      <c r="D740" s="527"/>
      <c r="G740" s="536"/>
      <c r="H740" s="536"/>
      <c r="I740" s="1065"/>
      <c r="J740" s="536"/>
      <c r="K740" s="536"/>
    </row>
    <row r="741" spans="1:11" ht="13.65" customHeight="1">
      <c r="C741" s="518"/>
      <c r="D741" s="1304" t="s">
        <v>1140</v>
      </c>
      <c r="E741" s="1304"/>
      <c r="F741" s="1304"/>
      <c r="G741" s="536"/>
      <c r="H741" s="536"/>
      <c r="I741" s="1065"/>
      <c r="J741" s="536"/>
      <c r="K741" s="536"/>
    </row>
    <row r="742" spans="1:11">
      <c r="A742" s="518"/>
      <c r="B742" s="518"/>
      <c r="C742" s="518"/>
      <c r="D742" s="1291" t="s">
        <v>1141</v>
      </c>
      <c r="E742" s="1291"/>
      <c r="F742" s="1291"/>
      <c r="G742" s="536"/>
      <c r="H742" s="536"/>
      <c r="I742" s="1065"/>
      <c r="J742" s="536"/>
      <c r="K742" s="536"/>
    </row>
    <row r="743" spans="1:11">
      <c r="A743" s="518"/>
      <c r="B743" s="518"/>
      <c r="C743" s="518"/>
      <c r="G743" s="536"/>
      <c r="H743" s="536"/>
      <c r="I743" s="1065"/>
      <c r="J743" s="536"/>
      <c r="K743" s="536"/>
    </row>
    <row r="744" spans="1:11" ht="14.4">
      <c r="A744" s="519"/>
      <c r="B744" s="520" t="s">
        <v>2688</v>
      </c>
      <c r="D744" s="1276" t="s">
        <v>1142</v>
      </c>
      <c r="E744" s="1276"/>
      <c r="F744" s="1276"/>
      <c r="G744" s="536"/>
      <c r="H744" s="536"/>
      <c r="I744" s="1065" t="s">
        <v>2182</v>
      </c>
      <c r="J744" s="536"/>
      <c r="K744" s="536"/>
    </row>
    <row r="745" spans="1:11" ht="10.5" customHeight="1">
      <c r="D745" s="1276"/>
      <c r="E745" s="1276"/>
      <c r="F745" s="1276"/>
      <c r="G745" s="536"/>
      <c r="H745" s="536"/>
      <c r="I745" s="1065"/>
      <c r="J745" s="536"/>
      <c r="K745" s="536"/>
    </row>
    <row r="746" spans="1:11">
      <c r="D746" s="1276"/>
      <c r="E746" s="1276"/>
      <c r="F746" s="1276"/>
      <c r="G746" s="536"/>
      <c r="H746" s="536"/>
      <c r="I746" s="1065"/>
      <c r="J746" s="536"/>
      <c r="K746" s="536"/>
    </row>
    <row r="747" spans="1:11">
      <c r="D747" s="1276"/>
      <c r="E747" s="1276"/>
      <c r="F747" s="1276"/>
      <c r="G747" s="536"/>
      <c r="H747" s="536"/>
      <c r="I747" s="1065"/>
      <c r="J747" s="536"/>
      <c r="K747" s="536"/>
    </row>
    <row r="748" spans="1:11">
      <c r="D748" s="1276"/>
      <c r="E748" s="1276"/>
      <c r="F748" s="1276"/>
      <c r="G748" s="536"/>
      <c r="H748" s="536"/>
      <c r="I748" s="1065"/>
      <c r="J748" s="536"/>
      <c r="K748" s="536"/>
    </row>
    <row r="749" spans="1:11" ht="15.6" customHeight="1">
      <c r="D749" s="1276"/>
      <c r="E749" s="1276"/>
      <c r="F749" s="1276"/>
      <c r="G749" s="536"/>
      <c r="H749" s="536"/>
      <c r="I749" s="1065"/>
      <c r="J749" s="536"/>
      <c r="K749" s="536"/>
    </row>
    <row r="750" spans="1:11">
      <c r="D750" s="534"/>
      <c r="E750" s="481"/>
      <c r="F750" s="481"/>
      <c r="G750" s="536"/>
      <c r="H750" s="536"/>
      <c r="I750" s="1065"/>
      <c r="J750" s="536"/>
      <c r="K750" s="536"/>
    </row>
    <row r="751" spans="1:11" s="540" customFormat="1" ht="14.4">
      <c r="A751" s="538"/>
      <c r="B751" s="520" t="s">
        <v>2687</v>
      </c>
      <c r="C751" s="539"/>
      <c r="D751" s="1276" t="s">
        <v>1388</v>
      </c>
      <c r="E751" s="1276"/>
      <c r="F751" s="1276"/>
      <c r="I751" s="1066" t="s">
        <v>2182</v>
      </c>
    </row>
    <row r="752" spans="1:11" s="540" customFormat="1">
      <c r="A752" s="539"/>
      <c r="B752" s="539"/>
      <c r="C752" s="539"/>
      <c r="D752" s="1276"/>
      <c r="E752" s="1276"/>
      <c r="F752" s="1276"/>
      <c r="I752" s="1066"/>
    </row>
    <row r="753" spans="1:11" s="540" customFormat="1">
      <c r="A753" s="539"/>
      <c r="B753" s="539"/>
      <c r="C753" s="539"/>
      <c r="D753" s="1276"/>
      <c r="E753" s="1276"/>
      <c r="F753" s="1276"/>
      <c r="I753" s="1066"/>
    </row>
    <row r="754" spans="1:11" s="540" customFormat="1">
      <c r="A754" s="539"/>
      <c r="B754" s="539"/>
      <c r="C754" s="539"/>
      <c r="D754" s="1276"/>
      <c r="E754" s="1276"/>
      <c r="F754" s="1276"/>
      <c r="I754" s="1066"/>
    </row>
    <row r="755" spans="1:11" s="540" customFormat="1">
      <c r="A755" s="539"/>
      <c r="B755" s="539"/>
      <c r="C755" s="539"/>
      <c r="D755" s="534"/>
      <c r="I755" s="1066"/>
    </row>
    <row r="756" spans="1:11" s="540" customFormat="1" ht="14.4">
      <c r="A756" s="519"/>
      <c r="B756" s="520" t="s">
        <v>2687</v>
      </c>
      <c r="C756" s="539"/>
      <c r="D756" s="1278" t="s">
        <v>1389</v>
      </c>
      <c r="E756" s="1278"/>
      <c r="F756" s="1278"/>
      <c r="I756" s="1066" t="s">
        <v>2183</v>
      </c>
    </row>
    <row r="757" spans="1:11" s="540" customFormat="1">
      <c r="A757" s="539"/>
      <c r="B757" s="539"/>
      <c r="C757" s="539"/>
      <c r="D757" s="1278"/>
      <c r="E757" s="1278"/>
      <c r="F757" s="1278"/>
      <c r="I757" s="1066"/>
    </row>
    <row r="758" spans="1:11" s="540" customFormat="1">
      <c r="A758" s="539"/>
      <c r="B758" s="539"/>
      <c r="C758" s="539"/>
      <c r="D758" s="1278"/>
      <c r="E758" s="1278"/>
      <c r="F758" s="1278"/>
      <c r="I758" s="1066"/>
    </row>
    <row r="759" spans="1:11">
      <c r="D759" s="534"/>
      <c r="E759" s="481"/>
      <c r="F759" s="481"/>
      <c r="G759" s="536"/>
      <c r="H759" s="536"/>
      <c r="I759" s="1065"/>
      <c r="J759" s="536"/>
      <c r="K759" s="536"/>
    </row>
    <row r="760" spans="1:11" ht="14.4">
      <c r="A760" s="519"/>
      <c r="B760" s="520" t="s">
        <v>2687</v>
      </c>
      <c r="D760" s="1276" t="s">
        <v>1340</v>
      </c>
      <c r="E760" s="1276"/>
      <c r="F760" s="1276"/>
      <c r="G760" s="536"/>
      <c r="H760" s="536"/>
      <c r="I760" s="1065" t="s">
        <v>2182</v>
      </c>
      <c r="J760" s="536"/>
      <c r="K760" s="536"/>
    </row>
    <row r="761" spans="1:11">
      <c r="D761" s="1276"/>
      <c r="E761" s="1276"/>
      <c r="F761" s="1276"/>
      <c r="G761" s="536"/>
      <c r="H761" s="536"/>
      <c r="I761" s="1065"/>
      <c r="J761" s="536"/>
      <c r="K761" s="536"/>
    </row>
    <row r="762" spans="1:11">
      <c r="D762" s="480"/>
      <c r="E762" s="480"/>
      <c r="F762" s="480"/>
      <c r="G762" s="536"/>
      <c r="H762" s="536"/>
      <c r="I762" s="1065"/>
      <c r="J762" s="536"/>
      <c r="K762" s="536"/>
    </row>
    <row r="763" spans="1:11">
      <c r="B763" s="520" t="s">
        <v>2687</v>
      </c>
      <c r="D763" s="1276" t="s">
        <v>1357</v>
      </c>
      <c r="E763" s="1276"/>
      <c r="F763" s="1276"/>
      <c r="G763" s="536"/>
      <c r="H763" s="536"/>
      <c r="I763" s="1065" t="s">
        <v>2182</v>
      </c>
      <c r="J763" s="536"/>
      <c r="K763" s="536"/>
    </row>
    <row r="764" spans="1:11">
      <c r="D764" s="1276"/>
      <c r="E764" s="1276"/>
      <c r="F764" s="1276"/>
      <c r="G764" s="536"/>
      <c r="H764" s="536"/>
      <c r="I764" s="1065"/>
      <c r="J764" s="536"/>
      <c r="K764" s="536"/>
    </row>
    <row r="765" spans="1:11">
      <c r="D765" s="1276"/>
      <c r="E765" s="1276"/>
      <c r="F765" s="1276"/>
      <c r="G765" s="536"/>
      <c r="H765" s="536"/>
      <c r="I765" s="1065"/>
      <c r="J765" s="536"/>
      <c r="K765" s="536"/>
    </row>
    <row r="766" spans="1:11">
      <c r="D766" s="480"/>
      <c r="E766" s="480"/>
      <c r="F766" s="480"/>
      <c r="G766" s="536"/>
      <c r="H766" s="536"/>
      <c r="I766" s="1065"/>
      <c r="J766" s="536"/>
      <c r="K766" s="536"/>
    </row>
    <row r="767" spans="1:11">
      <c r="A767" s="1330" t="s">
        <v>2062</v>
      </c>
      <c r="B767" s="1330"/>
      <c r="C767" s="1330"/>
      <c r="D767" s="1330"/>
      <c r="E767" s="1330"/>
      <c r="F767" s="1330"/>
      <c r="G767" s="1330"/>
      <c r="H767" s="1071"/>
      <c r="I767" s="1072"/>
    </row>
    <row r="768" spans="1:11">
      <c r="A768" s="57"/>
      <c r="B768" s="57"/>
      <c r="C768" s="386"/>
      <c r="D768" s="3"/>
      <c r="E768" s="3"/>
      <c r="F768" s="3"/>
      <c r="G768" s="3"/>
    </row>
    <row r="769" spans="1:9">
      <c r="A769" s="57"/>
      <c r="B769" s="57"/>
      <c r="C769" s="386"/>
      <c r="D769" s="1331" t="s">
        <v>2116</v>
      </c>
      <c r="E769" s="1331"/>
      <c r="F769" s="1331"/>
      <c r="G769" s="3"/>
    </row>
    <row r="770" spans="1:9">
      <c r="A770" s="57"/>
      <c r="B770" s="57"/>
      <c r="C770" s="386"/>
      <c r="D770" s="1309" t="s">
        <v>2015</v>
      </c>
      <c r="E770" s="1309"/>
      <c r="F770" s="1309"/>
      <c r="G770" s="3"/>
    </row>
    <row r="771" spans="1:9">
      <c r="A771" s="57"/>
      <c r="B771" s="57"/>
      <c r="C771" s="386"/>
      <c r="D771" s="482"/>
      <c r="E771" s="482"/>
      <c r="F771" s="482"/>
      <c r="G771" s="3"/>
    </row>
    <row r="772" spans="1:9">
      <c r="A772" s="57"/>
      <c r="B772" s="520" t="s">
        <v>2688</v>
      </c>
      <c r="C772" s="386"/>
      <c r="D772" s="1294" t="s">
        <v>2016</v>
      </c>
      <c r="E772" s="1294"/>
      <c r="F772" s="1294"/>
      <c r="G772" s="3"/>
      <c r="I772" s="1065" t="s">
        <v>2232</v>
      </c>
    </row>
    <row r="773" spans="1:9">
      <c r="A773" s="57"/>
      <c r="B773" s="57"/>
      <c r="C773" s="386"/>
      <c r="D773" s="1294"/>
      <c r="E773" s="1294"/>
      <c r="F773" s="1294"/>
      <c r="G773" s="3"/>
    </row>
    <row r="774" spans="1:9">
      <c r="A774" s="175"/>
      <c r="B774" s="175"/>
      <c r="C774" s="175"/>
      <c r="D774" s="1294"/>
      <c r="E774" s="1294"/>
      <c r="F774" s="1294"/>
      <c r="G774" s="118"/>
    </row>
    <row r="775" spans="1:9">
      <c r="A775" s="386"/>
      <c r="B775" s="386"/>
      <c r="C775" s="386"/>
      <c r="D775" s="174"/>
      <c r="E775" s="3"/>
      <c r="F775" s="3"/>
      <c r="G775" s="3"/>
    </row>
    <row r="776" spans="1:9">
      <c r="A776" s="172"/>
      <c r="B776" s="520" t="s">
        <v>2687</v>
      </c>
      <c r="C776" s="172"/>
      <c r="D776" s="1294" t="s">
        <v>2017</v>
      </c>
      <c r="E776" s="1294"/>
      <c r="F776" s="1294"/>
      <c r="G776" s="3"/>
      <c r="I776" s="1065" t="s">
        <v>2232</v>
      </c>
    </row>
    <row r="777" spans="1:9">
      <c r="A777" s="172"/>
      <c r="B777" s="172"/>
      <c r="C777" s="172"/>
      <c r="D777" s="1294"/>
      <c r="E777" s="1294"/>
      <c r="F777" s="1294"/>
      <c r="G777" s="3"/>
    </row>
    <row r="778" spans="1:9">
      <c r="A778" s="172"/>
      <c r="B778" s="172"/>
      <c r="C778" s="172"/>
      <c r="D778" s="1294"/>
      <c r="E778" s="1294"/>
      <c r="F778" s="1294"/>
      <c r="G778" s="3"/>
    </row>
    <row r="779" spans="1:9">
      <c r="A779" s="175"/>
      <c r="B779" s="175"/>
      <c r="C779" s="175"/>
      <c r="D779" s="3"/>
      <c r="E779" s="1025"/>
      <c r="F779" s="1025"/>
      <c r="G779" s="1025"/>
    </row>
    <row r="780" spans="1:9" ht="14.4">
      <c r="A780" s="176"/>
      <c r="B780" s="520" t="s">
        <v>2687</v>
      </c>
      <c r="C780" s="1026"/>
      <c r="D780" s="1294" t="s">
        <v>2018</v>
      </c>
      <c r="E780" s="1294"/>
      <c r="F780" s="1294"/>
      <c r="G780" s="1025"/>
      <c r="I780" s="1065" t="s">
        <v>2232</v>
      </c>
    </row>
    <row r="781" spans="1:9" ht="14.4">
      <c r="A781" s="176"/>
      <c r="B781" s="176"/>
      <c r="C781" s="1026"/>
      <c r="D781" s="1294"/>
      <c r="E781" s="1294"/>
      <c r="F781" s="1294"/>
      <c r="G781" s="1025"/>
    </row>
    <row r="782" spans="1:9" ht="14.4">
      <c r="A782" s="176"/>
      <c r="B782" s="176"/>
      <c r="C782" s="1026"/>
      <c r="D782" s="1294"/>
      <c r="E782" s="1294"/>
      <c r="F782" s="1294"/>
      <c r="G782" s="1025"/>
    </row>
    <row r="783" spans="1:9" ht="14.4">
      <c r="A783" s="176"/>
      <c r="B783" s="176"/>
      <c r="C783" s="1026"/>
      <c r="D783" s="118"/>
      <c r="E783" s="3"/>
      <c r="F783" s="3"/>
      <c r="G783" s="1025"/>
    </row>
    <row r="784" spans="1:9" ht="14.4">
      <c r="A784" s="176"/>
      <c r="B784" s="520" t="s">
        <v>2687</v>
      </c>
      <c r="C784" s="1026"/>
      <c r="D784" s="1294" t="s">
        <v>2019</v>
      </c>
      <c r="E784" s="1294"/>
      <c r="F784" s="1294"/>
      <c r="G784" s="1025"/>
      <c r="I784" s="1065" t="s">
        <v>2232</v>
      </c>
    </row>
    <row r="785" spans="1:9" ht="14.4">
      <c r="A785" s="176"/>
      <c r="B785" s="176"/>
      <c r="C785" s="1026"/>
      <c r="D785" s="1294"/>
      <c r="E785" s="1294"/>
      <c r="F785" s="1294"/>
      <c r="G785" s="1025"/>
    </row>
    <row r="786" spans="1:9" ht="14.4">
      <c r="A786" s="176"/>
      <c r="B786" s="176"/>
      <c r="C786" s="1026"/>
      <c r="D786" s="1294"/>
      <c r="E786" s="1294"/>
      <c r="F786" s="1294"/>
      <c r="G786" s="1025"/>
    </row>
    <row r="787" spans="1:9" ht="14.4">
      <c r="A787" s="176"/>
      <c r="B787" s="176"/>
      <c r="C787" s="1026"/>
      <c r="D787" s="1294"/>
      <c r="E787" s="1294"/>
      <c r="F787" s="1294"/>
      <c r="G787" s="1025"/>
    </row>
    <row r="788" spans="1:9" ht="14.4">
      <c r="A788" s="176"/>
      <c r="B788" s="176"/>
      <c r="C788" s="1026"/>
      <c r="D788" s="1294"/>
      <c r="E788" s="1294"/>
      <c r="F788" s="1294"/>
      <c r="G788" s="1025"/>
    </row>
    <row r="789" spans="1:9" ht="14.4">
      <c r="A789" s="176"/>
      <c r="B789" s="176"/>
      <c r="C789" s="1026"/>
      <c r="D789" s="1294"/>
      <c r="E789" s="1294"/>
      <c r="F789" s="1294"/>
      <c r="G789" s="1025"/>
    </row>
    <row r="790" spans="1:9" ht="14.4">
      <c r="A790" s="176"/>
      <c r="B790" s="176"/>
      <c r="C790" s="1026"/>
      <c r="D790" s="1294" t="s">
        <v>2063</v>
      </c>
      <c r="E790" s="1294"/>
      <c r="F790" s="1294"/>
      <c r="G790" s="1025"/>
    </row>
    <row r="791" spans="1:9" ht="14.4">
      <c r="A791" s="176"/>
      <c r="B791" s="176"/>
      <c r="C791" s="1026"/>
      <c r="D791" s="1294"/>
      <c r="E791" s="1294"/>
      <c r="F791" s="1294"/>
      <c r="G791" s="1025"/>
    </row>
    <row r="792" spans="1:9" ht="14.4">
      <c r="A792" s="176"/>
      <c r="B792" s="176"/>
      <c r="C792" s="1026"/>
      <c r="D792" s="1294"/>
      <c r="E792" s="1294"/>
      <c r="F792" s="1294"/>
      <c r="G792" s="1025"/>
    </row>
    <row r="793" spans="1:9" ht="14.4">
      <c r="A793" s="176"/>
      <c r="B793" s="386"/>
      <c r="C793" s="1026"/>
      <c r="D793" s="1027"/>
      <c r="E793" s="1027"/>
      <c r="F793" s="1027"/>
      <c r="G793" s="1025"/>
    </row>
    <row r="794" spans="1:9" ht="14.4">
      <c r="A794" s="176"/>
      <c r="B794" s="520" t="s">
        <v>2687</v>
      </c>
      <c r="C794" s="1026"/>
      <c r="D794" s="1294" t="s">
        <v>2020</v>
      </c>
      <c r="E794" s="1294"/>
      <c r="F794" s="1294"/>
      <c r="G794" s="1025"/>
      <c r="I794" s="1065" t="s">
        <v>2232</v>
      </c>
    </row>
    <row r="795" spans="1:9" ht="14.4">
      <c r="A795" s="176"/>
      <c r="B795" s="176"/>
      <c r="C795" s="1026"/>
      <c r="D795" s="1294"/>
      <c r="E795" s="1294"/>
      <c r="F795" s="1294"/>
      <c r="G795" s="1025"/>
    </row>
    <row r="796" spans="1:9" ht="14.4">
      <c r="A796" s="176"/>
      <c r="B796" s="176"/>
      <c r="C796" s="1026"/>
      <c r="D796" s="1294"/>
      <c r="E796" s="1294"/>
      <c r="F796" s="1294"/>
      <c r="G796" s="1025"/>
    </row>
    <row r="797" spans="1:9" ht="14.4">
      <c r="A797" s="176"/>
      <c r="B797" s="176"/>
      <c r="C797" s="1026"/>
      <c r="D797" s="1294"/>
      <c r="E797" s="1294"/>
      <c r="F797" s="1294"/>
      <c r="G797" s="1025"/>
    </row>
    <row r="798" spans="1:9" ht="14.4">
      <c r="A798" s="176"/>
      <c r="B798" s="176"/>
      <c r="C798" s="1026"/>
      <c r="D798" s="1294"/>
      <c r="E798" s="1294"/>
      <c r="F798" s="1294"/>
      <c r="G798" s="1025"/>
    </row>
    <row r="799" spans="1:9" ht="14.4">
      <c r="A799" s="176"/>
      <c r="B799" s="176"/>
      <c r="C799" s="1026"/>
      <c r="D799" s="1294"/>
      <c r="E799" s="1294"/>
      <c r="F799" s="1294"/>
      <c r="G799" s="1025"/>
    </row>
    <row r="800" spans="1:9" ht="14.4">
      <c r="A800" s="176"/>
      <c r="B800" s="176"/>
      <c r="C800" s="1026"/>
      <c r="D800" s="1019"/>
      <c r="E800" s="1019"/>
      <c r="F800" s="1019"/>
      <c r="G800" s="1025"/>
    </row>
    <row r="801" spans="1:9" ht="14.4">
      <c r="A801" s="176"/>
      <c r="B801" s="520" t="s">
        <v>2687</v>
      </c>
      <c r="C801" s="1026"/>
      <c r="D801" s="1294" t="s">
        <v>2021</v>
      </c>
      <c r="E801" s="1294"/>
      <c r="F801" s="1294"/>
      <c r="G801" s="1025"/>
      <c r="I801" s="1065" t="s">
        <v>2232</v>
      </c>
    </row>
    <row r="802" spans="1:9" ht="14.4">
      <c r="A802" s="176"/>
      <c r="B802" s="176"/>
      <c r="C802" s="1026"/>
      <c r="D802" s="1294"/>
      <c r="E802" s="1294"/>
      <c r="F802" s="1294"/>
      <c r="G802" s="1025"/>
    </row>
    <row r="803" spans="1:9" ht="14.4">
      <c r="A803" s="176"/>
      <c r="B803" s="176"/>
      <c r="C803" s="1026"/>
      <c r="D803" s="1294"/>
      <c r="E803" s="1294"/>
      <c r="F803" s="1294"/>
      <c r="G803" s="1025"/>
    </row>
    <row r="804" spans="1:9" ht="14.4">
      <c r="A804" s="176"/>
      <c r="B804" s="176"/>
      <c r="C804" s="1026"/>
      <c r="D804" s="1294"/>
      <c r="E804" s="1294"/>
      <c r="F804" s="1294"/>
      <c r="G804" s="1025"/>
    </row>
    <row r="805" spans="1:9" ht="14.4">
      <c r="A805" s="176"/>
      <c r="B805" s="176"/>
      <c r="C805" s="1026"/>
      <c r="D805" s="1294"/>
      <c r="E805" s="1294"/>
      <c r="F805" s="1294"/>
      <c r="G805" s="1025"/>
    </row>
    <row r="806" spans="1:9" ht="14.4">
      <c r="A806" s="176"/>
      <c r="B806" s="176"/>
      <c r="C806" s="1026"/>
      <c r="D806" s="1294"/>
      <c r="E806" s="1294"/>
      <c r="F806" s="1294"/>
      <c r="G806" s="1025"/>
    </row>
    <row r="807" spans="1:9" ht="14.4">
      <c r="A807" s="176"/>
      <c r="B807" s="176"/>
      <c r="C807" s="1026"/>
      <c r="D807" s="1019"/>
      <c r="E807" s="1019"/>
      <c r="F807" s="1019"/>
      <c r="G807" s="1025"/>
    </row>
    <row r="808" spans="1:9" ht="14.4">
      <c r="A808" s="176"/>
      <c r="B808" s="520" t="s">
        <v>2687</v>
      </c>
      <c r="C808" s="1026"/>
      <c r="D808" s="1302" t="s">
        <v>2022</v>
      </c>
      <c r="E808" s="1302"/>
      <c r="F808" s="1302"/>
      <c r="G808" s="1025"/>
      <c r="I808" s="1065" t="s">
        <v>2232</v>
      </c>
    </row>
    <row r="809" spans="1:9" ht="14.4">
      <c r="A809" s="176"/>
      <c r="B809" s="176"/>
      <c r="C809" s="1026"/>
      <c r="D809" s="1302"/>
      <c r="E809" s="1302"/>
      <c r="F809" s="1302"/>
      <c r="G809" s="1025"/>
    </row>
    <row r="810" spans="1:9">
      <c r="A810" s="13"/>
      <c r="B810" s="13"/>
      <c r="C810" s="1026"/>
      <c r="D810" s="1302"/>
      <c r="E810" s="1302"/>
      <c r="F810" s="1302"/>
      <c r="G810" s="1025"/>
    </row>
    <row r="811" spans="1:9" ht="14.4">
      <c r="A811" s="176"/>
      <c r="B811" s="13"/>
      <c r="C811" s="1026"/>
      <c r="D811" s="1302"/>
      <c r="E811" s="1302"/>
      <c r="F811" s="1302"/>
      <c r="G811" s="1025"/>
    </row>
    <row r="812" spans="1:9" ht="12.75" customHeight="1">
      <c r="A812" s="176"/>
      <c r="B812" s="13"/>
      <c r="C812" s="1026"/>
      <c r="D812" s="1302"/>
      <c r="E812" s="1302"/>
      <c r="F812" s="1302"/>
      <c r="G812" s="1025"/>
    </row>
    <row r="813" spans="1:9" ht="12.75" customHeight="1">
      <c r="A813" s="176"/>
      <c r="B813" s="13"/>
      <c r="C813" s="1026"/>
      <c r="D813" s="1302"/>
      <c r="E813" s="1302"/>
      <c r="F813" s="1302"/>
      <c r="G813" s="1025"/>
    </row>
    <row r="814" spans="1:9" ht="12.75" customHeight="1">
      <c r="A814" s="13"/>
      <c r="B814" s="13"/>
      <c r="C814" s="1026"/>
      <c r="D814" s="1025"/>
      <c r="E814" s="3"/>
      <c r="F814" s="3"/>
      <c r="G814" s="1025"/>
    </row>
    <row r="815" spans="1:9" ht="12.75" customHeight="1">
      <c r="A815" s="1289" t="s">
        <v>2023</v>
      </c>
      <c r="B815" s="1289"/>
      <c r="C815" s="1289"/>
      <c r="D815" s="1289"/>
      <c r="E815" s="1289"/>
      <c r="F815" s="1289"/>
      <c r="G815" s="1289"/>
      <c r="H815" s="1071"/>
      <c r="I815" s="1072"/>
    </row>
    <row r="816" spans="1:9" ht="12.75" customHeight="1">
      <c r="A816" s="172"/>
      <c r="B816" s="172"/>
      <c r="C816" s="1026"/>
      <c r="D816" s="1025"/>
      <c r="E816" s="1025"/>
      <c r="F816" s="1025"/>
      <c r="G816" s="1025"/>
    </row>
    <row r="817" spans="1:9" ht="12.75" customHeight="1">
      <c r="A817" s="176"/>
      <c r="B817" s="176"/>
      <c r="C817" s="386"/>
      <c r="D817" s="1293" t="s">
        <v>2064</v>
      </c>
      <c r="E817" s="1293"/>
      <c r="F817" s="1293"/>
      <c r="G817" s="3"/>
    </row>
    <row r="818" spans="1:9" ht="14.25" customHeight="1">
      <c r="A818" s="176"/>
      <c r="B818" s="176"/>
      <c r="C818" s="386"/>
      <c r="D818" s="1261" t="s">
        <v>2024</v>
      </c>
      <c r="E818" s="1261"/>
      <c r="F818" s="1261"/>
      <c r="G818" s="3"/>
    </row>
    <row r="819" spans="1:9" ht="12.75" customHeight="1">
      <c r="A819" s="176"/>
      <c r="B819" s="176"/>
      <c r="C819" s="386"/>
      <c r="D819" s="475"/>
      <c r="E819" s="475"/>
      <c r="F819" s="475"/>
      <c r="G819" s="3"/>
    </row>
    <row r="820" spans="1:9" ht="12.75" customHeight="1">
      <c r="A820" s="386"/>
      <c r="B820" s="520" t="s">
        <v>2688</v>
      </c>
      <c r="C820" s="1026"/>
      <c r="D820" s="1261" t="s">
        <v>2025</v>
      </c>
      <c r="E820" s="1261"/>
      <c r="F820" s="1261"/>
      <c r="G820" s="3"/>
      <c r="I820" s="436" t="s">
        <v>2200</v>
      </c>
    </row>
    <row r="821" spans="1:9" ht="14.25" customHeight="1">
      <c r="A821" s="13"/>
      <c r="B821" s="13"/>
      <c r="C821" s="1026"/>
      <c r="E821" s="1080" t="s">
        <v>2276</v>
      </c>
      <c r="F821" s="1082"/>
      <c r="G821" s="3"/>
    </row>
    <row r="822" spans="1:9" ht="12.75" customHeight="1">
      <c r="A822" s="13"/>
      <c r="B822" s="13"/>
      <c r="C822" s="1026"/>
      <c r="D822" s="1028"/>
      <c r="E822" s="3"/>
      <c r="F822" s="3"/>
      <c r="G822" s="3"/>
    </row>
    <row r="823" spans="1:9" ht="14.25" hidden="1" customHeight="1">
      <c r="A823" s="13"/>
      <c r="B823" s="520" t="s">
        <v>309</v>
      </c>
      <c r="C823" s="1026"/>
      <c r="D823" s="1340" t="s">
        <v>2472</v>
      </c>
      <c r="E823" s="1340"/>
      <c r="F823" s="1340"/>
      <c r="G823" s="3"/>
    </row>
    <row r="824" spans="1:9" ht="12.75" hidden="1" customHeight="1">
      <c r="A824" s="13"/>
      <c r="B824" s="13"/>
      <c r="C824" s="1026"/>
      <c r="D824" s="1340"/>
      <c r="E824" s="1340"/>
      <c r="F824" s="1340"/>
      <c r="G824" s="3"/>
    </row>
    <row r="825" spans="1:9" ht="12.75" hidden="1" customHeight="1">
      <c r="A825" s="13"/>
      <c r="B825" s="13"/>
      <c r="C825" s="1026"/>
      <c r="D825" s="1340"/>
      <c r="E825" s="1340"/>
      <c r="F825" s="1340"/>
      <c r="G825" s="3"/>
    </row>
    <row r="826" spans="1:9" ht="12.75" hidden="1" customHeight="1">
      <c r="A826" s="13"/>
      <c r="B826" s="13"/>
      <c r="C826" s="1026"/>
      <c r="D826" s="1340"/>
      <c r="E826" s="1340"/>
      <c r="F826" s="1340"/>
      <c r="G826" s="3"/>
    </row>
    <row r="827" spans="1:9" ht="12.75" hidden="1" customHeight="1">
      <c r="A827" s="13"/>
      <c r="B827" s="13"/>
      <c r="C827" s="1026"/>
      <c r="D827" s="1340"/>
      <c r="E827" s="1340"/>
      <c r="F827" s="1340"/>
      <c r="G827" s="3"/>
    </row>
    <row r="828" spans="1:9" ht="12.75" hidden="1" customHeight="1">
      <c r="A828" s="13"/>
      <c r="B828" s="13"/>
      <c r="C828" s="1026"/>
      <c r="D828" s="1340"/>
      <c r="E828" s="1340"/>
      <c r="F828" s="1340"/>
      <c r="G828" s="3"/>
    </row>
    <row r="829" spans="1:9" ht="12.75" hidden="1" customHeight="1">
      <c r="A829" s="13"/>
      <c r="B829" s="13"/>
      <c r="C829" s="1026"/>
      <c r="D829" s="1340"/>
      <c r="E829" s="1340"/>
      <c r="F829" s="1340"/>
      <c r="G829" s="3"/>
    </row>
    <row r="830" spans="1:9" ht="12.75" hidden="1" customHeight="1">
      <c r="A830" s="13"/>
      <c r="B830" s="13"/>
      <c r="C830" s="1026"/>
      <c r="D830" s="1340"/>
      <c r="E830" s="1340"/>
      <c r="F830" s="1340"/>
      <c r="G830" s="3"/>
    </row>
    <row r="831" spans="1:9" ht="12.75" hidden="1" customHeight="1">
      <c r="A831" s="13"/>
      <c r="B831" s="13"/>
      <c r="C831" s="1026"/>
      <c r="D831" s="1340"/>
      <c r="E831" s="1340"/>
      <c r="F831" s="1340"/>
      <c r="G831" s="3"/>
    </row>
    <row r="832" spans="1:9" ht="12.75" hidden="1" customHeight="1">
      <c r="A832" s="13"/>
      <c r="B832" s="13"/>
      <c r="C832" s="1026"/>
      <c r="D832" s="1340"/>
      <c r="E832" s="1340"/>
      <c r="F832" s="1340"/>
      <c r="G832" s="3"/>
    </row>
    <row r="833" spans="1:9" ht="12.75" hidden="1" customHeight="1">
      <c r="A833" s="13"/>
      <c r="B833" s="13"/>
      <c r="C833" s="1026"/>
      <c r="D833" s="1028"/>
      <c r="E833" s="3"/>
      <c r="F833" s="3"/>
      <c r="G833" s="3"/>
    </row>
    <row r="834" spans="1:9" ht="12.75" customHeight="1">
      <c r="A834" s="176"/>
      <c r="B834" s="520" t="s">
        <v>2688</v>
      </c>
      <c r="C834" s="1026"/>
      <c r="D834" s="1261" t="s">
        <v>2026</v>
      </c>
      <c r="E834" s="1261"/>
      <c r="F834" s="1261"/>
      <c r="G834" s="3"/>
      <c r="I834" s="436" t="s">
        <v>2218</v>
      </c>
    </row>
    <row r="835" spans="1:9" ht="12.75" customHeight="1">
      <c r="A835" s="176"/>
      <c r="B835" s="176"/>
      <c r="C835" s="1026"/>
      <c r="D835" s="1261"/>
      <c r="E835" s="1261"/>
      <c r="F835" s="1261"/>
      <c r="G835" s="3"/>
    </row>
    <row r="836" spans="1:9" ht="12.75" customHeight="1">
      <c r="A836" s="176"/>
      <c r="B836" s="176"/>
      <c r="C836" s="1026"/>
      <c r="D836" s="1261"/>
      <c r="E836" s="1261"/>
      <c r="F836" s="1261"/>
      <c r="G836" s="3"/>
    </row>
    <row r="837" spans="1:9" ht="12.75" customHeight="1">
      <c r="A837" s="176"/>
      <c r="B837" s="176"/>
      <c r="C837" s="1026"/>
      <c r="D837" s="118"/>
      <c r="E837" s="3"/>
      <c r="F837" s="3"/>
      <c r="G837" s="3"/>
    </row>
    <row r="838" spans="1:9" ht="12.75" customHeight="1">
      <c r="A838" s="1029"/>
      <c r="B838" s="520" t="s">
        <v>2687</v>
      </c>
      <c r="C838" s="1026"/>
      <c r="D838" s="1293" t="s">
        <v>2027</v>
      </c>
      <c r="E838" s="1293"/>
      <c r="F838" s="1293"/>
      <c r="G838" s="3"/>
    </row>
    <row r="839" spans="1:9" ht="12.75" customHeight="1">
      <c r="A839" s="386"/>
      <c r="B839" s="1029"/>
      <c r="C839" s="1026"/>
      <c r="D839" s="1293"/>
      <c r="E839" s="1293"/>
      <c r="F839" s="1293"/>
      <c r="G839" s="3"/>
    </row>
    <row r="840" spans="1:9" ht="12.75" customHeight="1">
      <c r="A840" s="176"/>
      <c r="B840" s="386"/>
      <c r="C840" s="1026"/>
      <c r="D840" s="1261" t="s">
        <v>2463</v>
      </c>
      <c r="E840" s="1261"/>
      <c r="F840" s="1261"/>
      <c r="G840" s="3"/>
    </row>
    <row r="841" spans="1:9" ht="12.75" customHeight="1">
      <c r="A841" s="176"/>
      <c r="B841" s="176"/>
      <c r="C841" s="1026"/>
      <c r="D841" s="1261"/>
      <c r="E841" s="1261"/>
      <c r="F841" s="1261"/>
      <c r="G841" s="3"/>
    </row>
    <row r="842" spans="1:9" ht="12.75" customHeight="1">
      <c r="A842" s="176"/>
      <c r="B842" s="176"/>
      <c r="C842" s="1026"/>
      <c r="D842" s="1261"/>
      <c r="E842" s="1261"/>
      <c r="F842" s="1261"/>
      <c r="G842" s="3"/>
    </row>
    <row r="843" spans="1:9" ht="12.75" customHeight="1">
      <c r="A843" s="176"/>
      <c r="B843" s="176"/>
      <c r="C843" s="1026"/>
      <c r="D843" s="1261"/>
      <c r="E843" s="1261"/>
      <c r="F843" s="1261"/>
      <c r="G843" s="3"/>
    </row>
    <row r="844" spans="1:9" ht="12.75" customHeight="1">
      <c r="A844" s="176"/>
      <c r="B844" s="176"/>
      <c r="C844" s="1026"/>
      <c r="D844" s="1261"/>
      <c r="E844" s="1261"/>
      <c r="F844" s="1261"/>
      <c r="G844" s="3"/>
    </row>
    <row r="845" spans="1:9" ht="12.75" customHeight="1">
      <c r="A845" s="176"/>
      <c r="B845" s="176"/>
      <c r="C845" s="1026"/>
      <c r="D845" s="1261"/>
      <c r="E845" s="1261"/>
      <c r="F845" s="1261"/>
      <c r="G845" s="3"/>
    </row>
    <row r="846" spans="1:9" ht="12.75" customHeight="1">
      <c r="A846" s="176"/>
      <c r="B846" s="176"/>
      <c r="C846" s="1026"/>
      <c r="D846" s="118"/>
      <c r="E846" s="3"/>
      <c r="F846" s="3"/>
      <c r="G846" s="3"/>
    </row>
    <row r="847" spans="1:9" ht="12.75" customHeight="1">
      <c r="A847" s="176"/>
      <c r="B847" s="520" t="s">
        <v>2687</v>
      </c>
      <c r="C847" s="1026"/>
      <c r="D847" s="1261" t="s">
        <v>2028</v>
      </c>
      <c r="E847" s="1261"/>
      <c r="F847" s="1261"/>
      <c r="G847" s="3"/>
      <c r="I847" s="436" t="s">
        <v>2201</v>
      </c>
    </row>
    <row r="848" spans="1:9" ht="12.75" customHeight="1">
      <c r="A848" s="176"/>
      <c r="B848" s="176"/>
      <c r="C848" s="1026"/>
      <c r="D848" s="1261" t="s">
        <v>2029</v>
      </c>
      <c r="E848" s="1261"/>
      <c r="F848" s="1261"/>
      <c r="G848" s="3"/>
    </row>
    <row r="849" spans="1:9" ht="12.75" customHeight="1">
      <c r="A849" s="176"/>
      <c r="B849" s="176"/>
      <c r="C849" s="1026"/>
      <c r="E849" s="1080" t="s">
        <v>2278</v>
      </c>
      <c r="F849" s="1082"/>
      <c r="G849" s="3"/>
    </row>
    <row r="850" spans="1:9" ht="12.75" customHeight="1">
      <c r="A850" s="176"/>
      <c r="B850" s="176"/>
      <c r="C850" s="1026"/>
      <c r="D850" s="118"/>
      <c r="E850" s="3"/>
      <c r="F850" s="3"/>
      <c r="G850" s="3"/>
    </row>
    <row r="851" spans="1:9" ht="12.75" customHeight="1">
      <c r="A851" s="176"/>
      <c r="B851" s="520" t="s">
        <v>2687</v>
      </c>
      <c r="C851" s="1026"/>
      <c r="D851" s="1261" t="s">
        <v>2030</v>
      </c>
      <c r="E851" s="1261"/>
      <c r="F851" s="1261"/>
      <c r="G851" s="3"/>
      <c r="I851" s="436" t="s">
        <v>2219</v>
      </c>
    </row>
    <row r="852" spans="1:9" ht="12.75" customHeight="1">
      <c r="A852" s="176"/>
      <c r="B852" s="176"/>
      <c r="C852" s="1026"/>
      <c r="D852" s="1261"/>
      <c r="E852" s="1261"/>
      <c r="F852" s="1261"/>
      <c r="G852" s="3"/>
    </row>
    <row r="853" spans="1:9" ht="12.75" customHeight="1">
      <c r="A853" s="176"/>
      <c r="B853" s="176"/>
      <c r="C853" s="1026"/>
      <c r="D853" s="1261"/>
      <c r="E853" s="1261"/>
      <c r="F853" s="1261"/>
      <c r="G853" s="3"/>
    </row>
    <row r="854" spans="1:9" ht="12.75" customHeight="1">
      <c r="A854" s="176"/>
      <c r="B854" s="176"/>
      <c r="C854" s="1026"/>
      <c r="D854" s="1261"/>
      <c r="E854" s="1261"/>
      <c r="F854" s="1261"/>
      <c r="G854" s="3"/>
    </row>
    <row r="855" spans="1:9" ht="12.75" customHeight="1">
      <c r="A855" s="172"/>
      <c r="B855" s="172"/>
      <c r="C855" s="172"/>
      <c r="D855" s="118"/>
      <c r="E855" s="3"/>
      <c r="F855" s="3"/>
      <c r="G855" s="3"/>
    </row>
    <row r="856" spans="1:9" ht="12.75" customHeight="1">
      <c r="A856" s="1020" t="s">
        <v>2031</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80" t="s">
        <v>2065</v>
      </c>
      <c r="E858" s="1280"/>
      <c r="F858" s="1280"/>
      <c r="G858" s="1025"/>
    </row>
    <row r="859" spans="1:9" ht="12.75" customHeight="1">
      <c r="A859" s="386"/>
      <c r="B859" s="386"/>
      <c r="C859" s="175"/>
      <c r="D859" s="1339" t="s">
        <v>2032</v>
      </c>
      <c r="E859" s="1339"/>
      <c r="F859" s="1339"/>
      <c r="G859" s="1025"/>
    </row>
    <row r="860" spans="1:9" ht="12.75" customHeight="1">
      <c r="A860" s="386"/>
      <c r="B860" s="386"/>
      <c r="C860" s="175"/>
      <c r="D860" s="1032"/>
      <c r="E860" s="1032"/>
      <c r="F860" s="1032"/>
      <c r="G860" s="1025"/>
    </row>
    <row r="861" spans="1:9" ht="12.75" customHeight="1">
      <c r="A861" s="176"/>
      <c r="B861" s="520" t="s">
        <v>2688</v>
      </c>
      <c r="C861" s="386"/>
      <c r="D861" s="1281" t="s">
        <v>2033</v>
      </c>
      <c r="E861" s="1281"/>
      <c r="F861" s="1281"/>
      <c r="G861" s="1025"/>
      <c r="I861" s="436" t="s">
        <v>2201</v>
      </c>
    </row>
    <row r="862" spans="1:9" ht="12.75" customHeight="1">
      <c r="A862" s="386"/>
      <c r="B862" s="386"/>
      <c r="C862" s="386"/>
      <c r="D862" s="2" t="s">
        <v>2008</v>
      </c>
      <c r="E862" s="1080" t="s">
        <v>2278</v>
      </c>
      <c r="F862" s="1083"/>
      <c r="G862" s="1025"/>
    </row>
    <row r="863" spans="1:9" ht="12.75" customHeight="1">
      <c r="A863" s="386"/>
      <c r="B863" s="386"/>
      <c r="C863" s="386"/>
      <c r="D863" s="118"/>
      <c r="E863" s="1025"/>
      <c r="F863" s="1025"/>
      <c r="G863" s="1025"/>
    </row>
    <row r="864" spans="1:9" ht="12.75" customHeight="1">
      <c r="A864" s="176"/>
      <c r="B864" s="520" t="s">
        <v>2688</v>
      </c>
      <c r="C864" s="386"/>
      <c r="D864" s="1261" t="s">
        <v>2034</v>
      </c>
      <c r="E864" s="1310"/>
      <c r="F864" s="1310"/>
      <c r="G864" s="3"/>
      <c r="I864" s="436" t="s">
        <v>2219</v>
      </c>
    </row>
    <row r="865" spans="1:9" ht="12.75" customHeight="1">
      <c r="A865" s="386"/>
      <c r="B865" s="386"/>
      <c r="C865" s="386"/>
      <c r="D865" s="1310"/>
      <c r="E865" s="1310"/>
      <c r="F865" s="1310"/>
      <c r="G865" s="3"/>
    </row>
    <row r="866" spans="1:9" ht="12.75" customHeight="1">
      <c r="A866" s="386"/>
      <c r="B866" s="386"/>
      <c r="C866" s="386"/>
      <c r="D866" s="118"/>
      <c r="E866" s="3"/>
      <c r="F866" s="3"/>
      <c r="G866" s="3"/>
    </row>
    <row r="867" spans="1:9" ht="12.75" customHeight="1">
      <c r="A867" s="386"/>
      <c r="B867" s="520" t="s">
        <v>2687</v>
      </c>
      <c r="C867" s="386"/>
      <c r="D867" s="1341" t="s">
        <v>2035</v>
      </c>
      <c r="E867" s="1341"/>
      <c r="F867" s="1341"/>
      <c r="G867" s="1025"/>
    </row>
    <row r="868" spans="1:9" ht="12.75" customHeight="1">
      <c r="A868" s="386"/>
      <c r="B868" s="1033"/>
      <c r="C868" s="386"/>
      <c r="D868" s="1341"/>
      <c r="E868" s="1341"/>
      <c r="F868" s="1341"/>
      <c r="G868" s="1025"/>
    </row>
    <row r="869" spans="1:9" ht="12.75" customHeight="1">
      <c r="A869" s="176"/>
      <c r="B869"/>
      <c r="C869" s="386"/>
      <c r="D869" s="1261" t="s">
        <v>2463</v>
      </c>
      <c r="E869" s="1261"/>
      <c r="F869" s="1261"/>
      <c r="G869" s="1025"/>
    </row>
    <row r="870" spans="1:9" ht="12.75" customHeight="1">
      <c r="A870" s="176"/>
      <c r="B870" s="176"/>
      <c r="C870" s="386"/>
      <c r="D870" s="1261"/>
      <c r="E870" s="1261"/>
      <c r="F870" s="1261"/>
      <c r="G870" s="1025"/>
    </row>
    <row r="871" spans="1:9" ht="12.75" customHeight="1">
      <c r="A871" s="176"/>
      <c r="B871" s="176"/>
      <c r="C871" s="386"/>
      <c r="D871" s="1261"/>
      <c r="E871" s="1261"/>
      <c r="F871" s="1261"/>
      <c r="G871" s="1025"/>
    </row>
    <row r="872" spans="1:9" ht="12.75" customHeight="1">
      <c r="A872" s="176"/>
      <c r="B872" s="176"/>
      <c r="C872" s="386"/>
      <c r="D872" s="1261"/>
      <c r="E872" s="1261"/>
      <c r="F872" s="1261"/>
      <c r="G872" s="1025"/>
    </row>
    <row r="873" spans="1:9" ht="12.75" customHeight="1">
      <c r="A873" s="176"/>
      <c r="B873" s="176"/>
      <c r="C873" s="386"/>
      <c r="D873" s="1261"/>
      <c r="E873" s="1261"/>
      <c r="F873" s="1261"/>
      <c r="G873" s="1025"/>
    </row>
    <row r="874" spans="1:9" ht="12.75" customHeight="1">
      <c r="A874" s="176"/>
      <c r="B874" s="176"/>
      <c r="C874" s="386"/>
      <c r="D874" s="1261"/>
      <c r="E874" s="1261"/>
      <c r="F874" s="1261"/>
      <c r="G874" s="1025"/>
    </row>
    <row r="875" spans="1:9" ht="12.75" customHeight="1">
      <c r="A875" s="176"/>
      <c r="B875" s="176"/>
      <c r="C875" s="386"/>
      <c r="D875" s="118"/>
      <c r="E875" s="1025"/>
      <c r="F875" s="1025"/>
      <c r="G875" s="1025"/>
    </row>
    <row r="876" spans="1:9" ht="12.75" customHeight="1">
      <c r="A876" s="176"/>
      <c r="B876" s="520" t="s">
        <v>2687</v>
      </c>
      <c r="C876" s="386"/>
      <c r="D876" s="1285" t="s">
        <v>2028</v>
      </c>
      <c r="E876" s="1285"/>
      <c r="F876" s="1285"/>
      <c r="G876" s="1025"/>
      <c r="I876" s="436" t="s">
        <v>2201</v>
      </c>
    </row>
    <row r="877" spans="1:9" ht="12.75" customHeight="1">
      <c r="A877" s="176"/>
      <c r="B877" s="176"/>
      <c r="C877" s="386"/>
      <c r="D877" s="1285" t="s">
        <v>2029</v>
      </c>
      <c r="E877" s="1285"/>
      <c r="F877" s="1285"/>
      <c r="G877" s="1025"/>
    </row>
    <row r="878" spans="1:9" ht="12.75" customHeight="1">
      <c r="A878" s="176"/>
      <c r="B878" s="176"/>
      <c r="C878" s="386"/>
      <c r="D878" s="2" t="s">
        <v>1427</v>
      </c>
      <c r="E878" s="1080" t="s">
        <v>2278</v>
      </c>
      <c r="F878" s="1084"/>
      <c r="G878" s="1025"/>
    </row>
    <row r="879" spans="1:9" ht="12.75" customHeight="1">
      <c r="A879" s="176"/>
      <c r="B879" s="176"/>
      <c r="C879" s="386"/>
      <c r="D879" s="118"/>
      <c r="E879" s="1025"/>
      <c r="F879" s="1025"/>
      <c r="G879" s="1025"/>
    </row>
    <row r="880" spans="1:9" ht="12.75" customHeight="1">
      <c r="A880" s="176"/>
      <c r="B880" s="520" t="s">
        <v>2687</v>
      </c>
      <c r="C880" s="386"/>
      <c r="D880" s="1261" t="s">
        <v>2030</v>
      </c>
      <c r="E880" s="1261"/>
      <c r="F880" s="1261"/>
      <c r="G880" s="1025"/>
      <c r="I880" s="436" t="s">
        <v>2219</v>
      </c>
    </row>
    <row r="881" spans="1:9" ht="12.75" customHeight="1">
      <c r="A881" s="176"/>
      <c r="B881" s="176"/>
      <c r="C881" s="386"/>
      <c r="D881" s="1261"/>
      <c r="E881" s="1261"/>
      <c r="F881" s="1261"/>
      <c r="G881" s="1025"/>
    </row>
    <row r="882" spans="1:9" ht="12.75" customHeight="1">
      <c r="A882" s="176"/>
      <c r="B882" s="176"/>
      <c r="C882" s="386"/>
      <c r="D882" s="1261"/>
      <c r="E882" s="1261"/>
      <c r="F882" s="1261"/>
      <c r="G882" s="1025"/>
    </row>
    <row r="883" spans="1:9" ht="12.75" customHeight="1">
      <c r="A883" s="176"/>
      <c r="B883" s="176"/>
      <c r="C883" s="386"/>
      <c r="D883" s="1261"/>
      <c r="E883" s="1261"/>
      <c r="F883" s="1261"/>
      <c r="G883" s="1025"/>
    </row>
    <row r="884" spans="1:9" ht="12.75" customHeight="1">
      <c r="A884" s="118"/>
      <c r="B884" s="118"/>
      <c r="C884" s="1026"/>
      <c r="D884" s="1025"/>
      <c r="E884" s="1025"/>
      <c r="F884" s="1025"/>
      <c r="G884" s="1025"/>
    </row>
    <row r="885" spans="1:9" ht="12.75" customHeight="1">
      <c r="A885" s="1289" t="s">
        <v>2066</v>
      </c>
      <c r="B885" s="1289"/>
      <c r="C885" s="1289"/>
      <c r="D885" s="1289"/>
      <c r="E885" s="1289"/>
      <c r="F885" s="1289"/>
      <c r="G885" s="1289"/>
      <c r="H885" s="1071"/>
      <c r="I885" s="1072"/>
    </row>
    <row r="886" spans="1:9" ht="12.75" customHeight="1">
      <c r="A886" s="57"/>
      <c r="B886" s="57"/>
      <c r="C886" s="57"/>
      <c r="D886" s="57"/>
      <c r="E886" s="57"/>
      <c r="F886" s="57"/>
      <c r="G886" s="57"/>
    </row>
    <row r="887" spans="1:9" ht="12.75" customHeight="1">
      <c r="A887" s="57"/>
      <c r="B887" s="57"/>
      <c r="C887" s="57"/>
      <c r="D887" s="1295" t="s">
        <v>2072</v>
      </c>
      <c r="E887" s="1295"/>
      <c r="F887" s="1295"/>
      <c r="G887" s="57"/>
    </row>
    <row r="888" spans="1:9" ht="12.75" customHeight="1">
      <c r="A888" s="57"/>
      <c r="B888" s="57"/>
      <c r="C888" s="57"/>
      <c r="D888" s="1018"/>
      <c r="E888" s="1018"/>
      <c r="F888" s="1018"/>
      <c r="G888" s="57"/>
    </row>
    <row r="889" spans="1:9" ht="12.75" customHeight="1">
      <c r="A889" s="57"/>
      <c r="B889" s="520" t="s">
        <v>2688</v>
      </c>
      <c r="C889" s="57"/>
      <c r="D889" s="1021" t="s">
        <v>2073</v>
      </c>
      <c r="E889" s="1018"/>
      <c r="F889" s="1018"/>
      <c r="G889" s="57"/>
      <c r="I889" s="436" t="s">
        <v>2233</v>
      </c>
    </row>
    <row r="890" spans="1:9" ht="12.75" customHeight="1">
      <c r="A890" s="57"/>
      <c r="B890" s="57"/>
      <c r="C890" s="57"/>
      <c r="D890" s="1018"/>
      <c r="E890" s="1018"/>
      <c r="F890" s="1018"/>
      <c r="G890" s="57"/>
    </row>
    <row r="891" spans="1:9" ht="12.75" customHeight="1">
      <c r="A891" s="386"/>
      <c r="B891" s="386"/>
      <c r="C891" s="1026"/>
      <c r="D891" s="1295" t="s">
        <v>2067</v>
      </c>
      <c r="E891" s="1295"/>
      <c r="F891" s="1295"/>
      <c r="G891" s="1025"/>
    </row>
    <row r="892" spans="1:9" ht="12.75" customHeight="1">
      <c r="A892" s="172"/>
      <c r="B892" s="172"/>
      <c r="C892" s="172"/>
      <c r="D892" s="1281" t="s">
        <v>2036</v>
      </c>
      <c r="E892" s="1281"/>
      <c r="F892" s="1281"/>
      <c r="G892" s="1025"/>
    </row>
    <row r="893" spans="1:9" ht="12.75" customHeight="1">
      <c r="A893" s="1026"/>
      <c r="B893" s="1026"/>
      <c r="C893" s="1026"/>
      <c r="D893" s="2"/>
      <c r="E893" s="1025"/>
      <c r="F893" s="1025"/>
      <c r="G893" s="1025"/>
    </row>
    <row r="894" spans="1:9" ht="12.75" customHeight="1">
      <c r="A894" s="176"/>
      <c r="B894" s="520" t="s">
        <v>2688</v>
      </c>
      <c r="C894" s="386"/>
      <c r="D894" s="1261" t="s">
        <v>2040</v>
      </c>
      <c r="E894" s="1261"/>
      <c r="F894" s="1261"/>
      <c r="G894" s="3"/>
      <c r="I894" s="436" t="s">
        <v>2185</v>
      </c>
    </row>
    <row r="895" spans="1:9" ht="12.75" customHeight="1">
      <c r="A895" s="386"/>
      <c r="B895" s="386"/>
      <c r="C895" s="386"/>
      <c r="D895" s="1261"/>
      <c r="E895" s="1261"/>
      <c r="F895" s="1261"/>
      <c r="G895" s="3"/>
    </row>
    <row r="896" spans="1:9" ht="12.75" customHeight="1">
      <c r="A896" s="172"/>
      <c r="B896" s="172"/>
      <c r="C896" s="172"/>
      <c r="D896" s="1261" t="s">
        <v>2039</v>
      </c>
      <c r="E896" s="1261"/>
      <c r="F896" s="1261"/>
      <c r="G896" s="1025"/>
    </row>
    <row r="897" spans="1:9" ht="12.75" customHeight="1">
      <c r="A897" s="172"/>
      <c r="B897" s="172"/>
      <c r="C897" s="172"/>
      <c r="D897" s="1261"/>
      <c r="E897" s="1261"/>
      <c r="F897" s="1261"/>
      <c r="G897" s="1025"/>
    </row>
    <row r="898" spans="1:9" ht="12.75" customHeight="1">
      <c r="A898" s="172"/>
      <c r="B898" s="172"/>
      <c r="C898" s="172"/>
      <c r="D898" s="3"/>
      <c r="E898" s="3"/>
      <c r="F898" s="1025"/>
      <c r="G898" s="1025"/>
    </row>
    <row r="899" spans="1:9" ht="12.75" customHeight="1">
      <c r="A899" s="176"/>
      <c r="B899" s="520" t="s">
        <v>2688</v>
      </c>
      <c r="C899" s="175"/>
      <c r="D899" s="1265" t="s">
        <v>2037</v>
      </c>
      <c r="E899" s="1265"/>
      <c r="F899" s="1265"/>
      <c r="G899" s="1025"/>
      <c r="I899" s="436" t="s">
        <v>2184</v>
      </c>
    </row>
    <row r="900" spans="1:9" ht="12.75" customHeight="1">
      <c r="A900" s="176"/>
      <c r="B900" s="176"/>
      <c r="C900" s="175"/>
      <c r="D900" s="1265"/>
      <c r="E900" s="1265"/>
      <c r="F900" s="1265"/>
      <c r="G900" s="1025"/>
    </row>
    <row r="901" spans="1:9" ht="12.75" customHeight="1">
      <c r="A901" s="176"/>
      <c r="B901" s="176"/>
      <c r="C901" s="175"/>
      <c r="D901" s="1265"/>
      <c r="E901" s="1265"/>
      <c r="F901" s="1265"/>
      <c r="G901" s="1025"/>
    </row>
    <row r="902" spans="1:9" ht="12.75" customHeight="1">
      <c r="A902" s="176"/>
      <c r="B902" s="176"/>
      <c r="C902" s="175"/>
      <c r="D902" s="1265"/>
      <c r="E902" s="1265"/>
      <c r="F902" s="1265"/>
      <c r="G902" s="1025"/>
    </row>
    <row r="903" spans="1:9" ht="12.75" customHeight="1">
      <c r="A903" s="176"/>
      <c r="B903" s="176"/>
      <c r="C903" s="175"/>
      <c r="D903" s="1265"/>
      <c r="E903" s="1265"/>
      <c r="F903" s="1265"/>
      <c r="G903" s="1025"/>
    </row>
    <row r="904" spans="1:9" ht="12.75" customHeight="1">
      <c r="A904" s="175"/>
      <c r="B904" s="175"/>
      <c r="C904" s="175"/>
      <c r="D904" s="1265"/>
      <c r="E904" s="1265"/>
      <c r="F904" s="1265"/>
      <c r="G904" s="1025"/>
    </row>
    <row r="905" spans="1:9" ht="12.75" customHeight="1">
      <c r="A905" s="175"/>
      <c r="B905" s="175"/>
      <c r="C905" s="175"/>
      <c r="D905" s="1265"/>
      <c r="E905" s="1265"/>
      <c r="F905" s="1265"/>
      <c r="G905" s="1025"/>
    </row>
    <row r="906" spans="1:9" ht="12.75" customHeight="1">
      <c r="A906" s="175"/>
      <c r="B906" s="175"/>
      <c r="C906" s="175"/>
      <c r="D906" s="1265"/>
      <c r="E906" s="1265"/>
      <c r="F906" s="1265"/>
      <c r="G906" s="1025"/>
    </row>
    <row r="907" spans="1:9" ht="12.75" customHeight="1">
      <c r="A907" s="175"/>
      <c r="B907" s="175"/>
      <c r="C907" s="175"/>
      <c r="D907" s="364"/>
      <c r="E907" s="364"/>
      <c r="F907" s="364"/>
      <c r="G907" s="1025"/>
    </row>
    <row r="908" spans="1:9" ht="12.75" customHeight="1">
      <c r="A908" s="1026"/>
      <c r="B908" s="520" t="s">
        <v>2687</v>
      </c>
      <c r="C908" s="1026"/>
      <c r="D908" s="1261" t="s">
        <v>2041</v>
      </c>
      <c r="E908" s="1261"/>
      <c r="F908" s="1261"/>
      <c r="G908" s="1025"/>
    </row>
    <row r="909" spans="1:9" ht="12.75" customHeight="1">
      <c r="A909" s="1026"/>
      <c r="B909" s="1026"/>
      <c r="C909" s="1026"/>
      <c r="D909" s="1261"/>
      <c r="E909" s="1261"/>
      <c r="F909" s="1261"/>
      <c r="G909" s="1025"/>
    </row>
    <row r="910" spans="1:9" ht="12.75" customHeight="1">
      <c r="A910" s="1026"/>
      <c r="B910" s="1026"/>
      <c r="C910" s="1026"/>
      <c r="D910" s="1025"/>
      <c r="E910" s="1025"/>
      <c r="F910" s="1025"/>
      <c r="G910" s="1025"/>
    </row>
    <row r="911" spans="1:9" ht="12.75" customHeight="1">
      <c r="A911" s="1026"/>
      <c r="B911" s="520" t="s">
        <v>2688</v>
      </c>
      <c r="C911" s="1026"/>
      <c r="D911" s="1302" t="s">
        <v>2042</v>
      </c>
      <c r="E911" s="1302"/>
      <c r="F911" s="1302"/>
      <c r="G911" s="1025"/>
    </row>
    <row r="912" spans="1:9" ht="12.75" customHeight="1">
      <c r="A912" s="1026"/>
      <c r="B912" s="1026"/>
      <c r="C912" s="1026"/>
      <c r="D912" s="1302"/>
      <c r="E912" s="1302"/>
      <c r="F912" s="1302"/>
      <c r="G912" s="1025"/>
    </row>
    <row r="913" spans="1:9" ht="12.75" customHeight="1">
      <c r="A913" s="1026"/>
      <c r="B913" s="1026"/>
      <c r="C913" s="1026"/>
      <c r="D913" s="1302"/>
      <c r="E913" s="1302"/>
      <c r="F913" s="1302"/>
      <c r="G913" s="1025"/>
    </row>
    <row r="914" spans="1:9" ht="12.75" customHeight="1">
      <c r="A914" s="1026"/>
      <c r="B914" s="1026"/>
      <c r="C914" s="1026"/>
      <c r="D914" s="1302"/>
      <c r="E914" s="1302"/>
      <c r="F914" s="1302"/>
      <c r="G914" s="1025"/>
    </row>
    <row r="915" spans="1:9" ht="12.75" customHeight="1">
      <c r="A915" s="1026"/>
      <c r="B915" s="1026"/>
      <c r="C915" s="1026"/>
      <c r="D915" s="118"/>
      <c r="E915" s="1025"/>
      <c r="F915" s="1025"/>
      <c r="G915" s="1025"/>
    </row>
    <row r="916" spans="1:9" ht="12.75" customHeight="1">
      <c r="A916" s="1026"/>
      <c r="B916" s="520" t="s">
        <v>2687</v>
      </c>
      <c r="C916" s="1026"/>
      <c r="D916" s="1281" t="s">
        <v>2464</v>
      </c>
      <c r="E916" s="1281"/>
      <c r="F916" s="1281"/>
      <c r="G916" s="1025"/>
    </row>
    <row r="917" spans="1:9" ht="12.75" customHeight="1">
      <c r="A917" s="1026"/>
      <c r="B917" s="1026"/>
      <c r="C917" s="1026"/>
      <c r="D917" s="118"/>
      <c r="E917" s="1025"/>
      <c r="F917" s="1025"/>
      <c r="G917" s="1025"/>
    </row>
    <row r="918" spans="1:9" ht="12.75" customHeight="1">
      <c r="A918" s="1026"/>
      <c r="B918" s="520" t="s">
        <v>2687</v>
      </c>
      <c r="C918" s="1026"/>
      <c r="D918" s="1281" t="s">
        <v>2465</v>
      </c>
      <c r="E918" s="1281"/>
      <c r="F918" s="1281"/>
      <c r="G918" s="1025"/>
    </row>
    <row r="919" spans="1:9" ht="12.75" customHeight="1">
      <c r="A919" s="175"/>
      <c r="B919" s="175"/>
      <c r="C919" s="175"/>
      <c r="D919" s="2"/>
      <c r="E919" s="3"/>
      <c r="F919" s="1025"/>
      <c r="G919" s="1025"/>
    </row>
    <row r="920" spans="1:9" ht="12.75" customHeight="1">
      <c r="A920" s="1034"/>
      <c r="B920" s="520" t="s">
        <v>2687</v>
      </c>
      <c r="C920" s="1035"/>
      <c r="D920" s="1265" t="s">
        <v>2038</v>
      </c>
      <c r="E920" s="1265"/>
      <c r="F920" s="1265"/>
      <c r="G920" s="1036"/>
      <c r="I920" s="436" t="s">
        <v>2234</v>
      </c>
    </row>
    <row r="921" spans="1:9" ht="12.75" customHeight="1">
      <c r="A921" s="1034"/>
      <c r="B921" s="1034"/>
      <c r="C921" s="1035"/>
      <c r="D921" s="1265"/>
      <c r="E921" s="1265"/>
      <c r="F921" s="1265"/>
      <c r="G921" s="1036"/>
    </row>
    <row r="922" spans="1:9" ht="12.75" customHeight="1">
      <c r="A922" s="1034"/>
      <c r="B922" s="1034"/>
      <c r="C922" s="1035"/>
      <c r="D922" s="1265"/>
      <c r="E922" s="1265"/>
      <c r="F922" s="1265"/>
      <c r="G922" s="1036"/>
    </row>
    <row r="923" spans="1:9" ht="12.75" customHeight="1">
      <c r="A923" s="1034"/>
      <c r="B923" s="1034"/>
      <c r="C923" s="1035"/>
      <c r="D923" s="1265"/>
      <c r="E923" s="1265"/>
      <c r="F923" s="1265"/>
      <c r="G923" s="1036"/>
    </row>
    <row r="924" spans="1:9" ht="12.75" customHeight="1">
      <c r="A924" s="1034"/>
      <c r="B924" s="1034"/>
      <c r="C924" s="1035"/>
      <c r="D924" s="1265"/>
      <c r="E924" s="1265"/>
      <c r="F924" s="1265"/>
      <c r="G924" s="1036"/>
    </row>
    <row r="925" spans="1:9" ht="12.75" customHeight="1">
      <c r="A925" s="1034"/>
      <c r="B925" s="1034"/>
      <c r="C925" s="1035"/>
      <c r="D925" s="1265"/>
      <c r="E925" s="1265"/>
      <c r="F925" s="1265"/>
      <c r="G925" s="1036"/>
    </row>
    <row r="926" spans="1:9" ht="12.75" customHeight="1">
      <c r="A926" s="1034"/>
      <c r="B926" s="1034"/>
      <c r="C926" s="1035"/>
      <c r="D926" s="1265"/>
      <c r="E926" s="1265"/>
      <c r="F926" s="1265"/>
      <c r="G926" s="1036"/>
    </row>
    <row r="927" spans="1:9" ht="12.75" customHeight="1">
      <c r="A927" s="1034"/>
      <c r="B927" s="1034"/>
      <c r="C927" s="1035"/>
      <c r="D927" s="1265"/>
      <c r="E927" s="1265"/>
      <c r="F927" s="1265"/>
      <c r="G927" s="1036"/>
    </row>
    <row r="928" spans="1:9" ht="12.75" customHeight="1">
      <c r="A928" s="1034"/>
      <c r="B928" s="1034"/>
      <c r="C928" s="1035"/>
      <c r="D928" s="1265"/>
      <c r="E928" s="1265"/>
      <c r="F928" s="1265"/>
      <c r="G928" s="1036"/>
    </row>
    <row r="929" spans="1:9" ht="12.75" customHeight="1">
      <c r="A929" s="175"/>
      <c r="B929" s="175"/>
      <c r="C929" s="175"/>
      <c r="D929" s="2"/>
      <c r="E929" s="3"/>
      <c r="F929" s="1025"/>
      <c r="G929" s="1025"/>
    </row>
    <row r="930" spans="1:9" ht="12.75" customHeight="1">
      <c r="A930" s="176"/>
      <c r="B930" s="520" t="s">
        <v>2687</v>
      </c>
      <c r="C930" s="175"/>
      <c r="D930" s="1342" t="s">
        <v>2236</v>
      </c>
      <c r="E930" s="1342"/>
      <c r="F930" s="1342"/>
      <c r="G930" s="1025"/>
      <c r="I930" s="436" t="s">
        <v>2234</v>
      </c>
    </row>
    <row r="931" spans="1:9" ht="12.75" customHeight="1">
      <c r="A931" s="176"/>
      <c r="B931" s="176"/>
      <c r="C931" s="175"/>
      <c r="D931" s="1342"/>
      <c r="E931" s="1342"/>
      <c r="F931" s="1342"/>
      <c r="G931" s="1025"/>
    </row>
    <row r="932" spans="1:9" ht="12.75" customHeight="1">
      <c r="A932" s="176"/>
      <c r="B932" s="176"/>
      <c r="C932" s="175"/>
      <c r="D932" s="1342"/>
      <c r="E932" s="1342"/>
      <c r="F932" s="1342"/>
      <c r="G932" s="1025"/>
    </row>
    <row r="933" spans="1:9" ht="12.75" customHeight="1">
      <c r="A933" s="176"/>
      <c r="B933" s="176"/>
      <c r="C933" s="175"/>
      <c r="D933" s="1342"/>
      <c r="E933" s="1342"/>
      <c r="F933" s="1342"/>
      <c r="G933" s="1025"/>
    </row>
    <row r="934" spans="1:9" ht="12.75" customHeight="1">
      <c r="A934" s="176"/>
      <c r="B934" s="176"/>
      <c r="C934" s="175"/>
      <c r="D934" s="1342"/>
      <c r="E934" s="1342"/>
      <c r="F934" s="1342"/>
      <c r="G934" s="1025"/>
    </row>
    <row r="935" spans="1:9" ht="12.75" customHeight="1">
      <c r="A935" s="176"/>
      <c r="B935" s="176"/>
      <c r="C935" s="175"/>
      <c r="D935" s="1342"/>
      <c r="E935" s="1342"/>
      <c r="F935" s="1342"/>
      <c r="G935" s="1025"/>
    </row>
    <row r="936" spans="1:9" ht="12.75" customHeight="1">
      <c r="A936" s="176"/>
      <c r="B936" s="176"/>
      <c r="C936" s="175"/>
      <c r="D936" s="1342"/>
      <c r="E936" s="1342"/>
      <c r="F936" s="1342"/>
      <c r="G936" s="1025"/>
    </row>
    <row r="937" spans="1:9" ht="12.75" customHeight="1">
      <c r="A937" s="176"/>
      <c r="B937" s="176"/>
      <c r="C937" s="175"/>
      <c r="D937" s="1067"/>
      <c r="E937" s="1067"/>
      <c r="F937" s="1067"/>
      <c r="G937" s="1025"/>
    </row>
    <row r="938" spans="1:9" ht="12.75" customHeight="1">
      <c r="A938" s="176"/>
      <c r="B938" s="520" t="s">
        <v>2687</v>
      </c>
      <c r="C938" s="175"/>
      <c r="D938" s="1264" t="s">
        <v>2558</v>
      </c>
      <c r="E938" s="1264"/>
      <c r="F938" s="1264"/>
      <c r="G938" s="1025"/>
    </row>
    <row r="939" spans="1:9" ht="12.75" customHeight="1">
      <c r="A939" s="176"/>
      <c r="B939" s="176"/>
      <c r="C939" s="175"/>
      <c r="D939" s="1264"/>
      <c r="E939" s="1264"/>
      <c r="F939" s="1264"/>
      <c r="G939" s="1025"/>
    </row>
    <row r="940" spans="1:9" ht="12.75" customHeight="1">
      <c r="A940" s="176"/>
      <c r="B940" s="176"/>
      <c r="C940" s="175"/>
      <c r="D940" s="1264"/>
      <c r="E940" s="1264"/>
      <c r="F940" s="1264"/>
      <c r="G940" s="1025"/>
    </row>
    <row r="941" spans="1:9" ht="12.75" customHeight="1">
      <c r="A941" s="176"/>
      <c r="B941" s="176"/>
      <c r="C941" s="175"/>
      <c r="D941" s="1264"/>
      <c r="E941" s="1264"/>
      <c r="F941" s="1264"/>
      <c r="G941" s="1025"/>
    </row>
    <row r="942" spans="1:9" ht="12.75" customHeight="1">
      <c r="A942" s="176"/>
      <c r="B942" s="176"/>
      <c r="C942" s="175"/>
      <c r="D942" s="1264"/>
      <c r="E942" s="1264"/>
      <c r="F942" s="1264"/>
      <c r="G942" s="1025"/>
    </row>
    <row r="943" spans="1:9" ht="12.75" customHeight="1">
      <c r="A943" s="176"/>
      <c r="B943" s="176"/>
      <c r="C943" s="175"/>
      <c r="D943" s="1264"/>
      <c r="E943" s="1264"/>
      <c r="F943" s="1264"/>
      <c r="G943" s="1025"/>
    </row>
    <row r="944" spans="1:9" ht="12.75" customHeight="1">
      <c r="A944" s="176"/>
      <c r="B944" s="176"/>
      <c r="C944" s="175"/>
      <c r="D944" s="1067"/>
      <c r="E944" s="1067"/>
      <c r="F944" s="1067"/>
      <c r="G944" s="1025"/>
    </row>
    <row r="945" spans="1:9" ht="12.75" customHeight="1">
      <c r="A945" s="1026"/>
      <c r="B945" s="520" t="s">
        <v>2687</v>
      </c>
      <c r="C945" s="1026"/>
      <c r="D945" s="1302" t="s">
        <v>2043</v>
      </c>
      <c r="E945" s="1302"/>
      <c r="F945" s="1302"/>
      <c r="G945" s="1025"/>
    </row>
    <row r="946" spans="1:9" ht="12.75" customHeight="1">
      <c r="A946" s="1026"/>
      <c r="B946" s="1026"/>
      <c r="C946" s="1026"/>
      <c r="D946" s="1302"/>
      <c r="E946" s="1302"/>
      <c r="F946" s="1302"/>
      <c r="G946" s="1025"/>
    </row>
    <row r="947" spans="1:9" ht="12.75" customHeight="1">
      <c r="A947" s="1026"/>
      <c r="B947" s="1026"/>
      <c r="C947" s="1026"/>
      <c r="D947" s="1302"/>
      <c r="E947" s="1302"/>
      <c r="F947" s="1302"/>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2687</v>
      </c>
      <c r="C950" s="175"/>
      <c r="D950" s="1265" t="s">
        <v>2235</v>
      </c>
      <c r="E950" s="1265"/>
      <c r="F950" s="1265"/>
      <c r="G950" s="1025"/>
      <c r="I950" s="436" t="s">
        <v>2234</v>
      </c>
    </row>
    <row r="951" spans="1:9" ht="12.75" customHeight="1">
      <c r="A951" s="176"/>
      <c r="B951" s="176"/>
      <c r="C951" s="175"/>
      <c r="D951" s="1265"/>
      <c r="E951" s="1265"/>
      <c r="F951" s="1265"/>
      <c r="G951" s="1025"/>
    </row>
    <row r="952" spans="1:9" ht="12.75" customHeight="1">
      <c r="A952" s="176"/>
      <c r="B952" s="176"/>
      <c r="C952" s="175"/>
      <c r="D952" s="1265"/>
      <c r="E952" s="1265"/>
      <c r="F952" s="1265"/>
      <c r="G952" s="1025"/>
    </row>
    <row r="953" spans="1:9" ht="12.75" customHeight="1">
      <c r="A953" s="176"/>
      <c r="B953" s="176"/>
      <c r="C953" s="175"/>
      <c r="D953" s="1265"/>
      <c r="E953" s="1265"/>
      <c r="F953" s="1265"/>
      <c r="G953" s="1025"/>
    </row>
    <row r="954" spans="1:9" ht="12.75" customHeight="1">
      <c r="A954" s="1026"/>
      <c r="B954" s="1026"/>
      <c r="C954" s="1026"/>
      <c r="D954" s="1017"/>
      <c r="E954" s="1017"/>
      <c r="F954" s="1017"/>
      <c r="G954" s="1017"/>
    </row>
    <row r="955" spans="1:9" ht="12.75" customHeight="1">
      <c r="A955" s="386"/>
      <c r="B955" s="386"/>
      <c r="C955" s="386"/>
      <c r="D955" s="1280" t="s">
        <v>2044</v>
      </c>
      <c r="E955" s="1280"/>
      <c r="F955" s="1280"/>
      <c r="G955" s="3"/>
    </row>
    <row r="956" spans="1:9" ht="12.75" customHeight="1">
      <c r="A956" s="176"/>
      <c r="B956" s="520" t="s">
        <v>2688</v>
      </c>
      <c r="C956" s="386"/>
      <c r="D956" s="1281" t="s">
        <v>2068</v>
      </c>
      <c r="E956" s="1281"/>
      <c r="F956" s="1281"/>
      <c r="G956" s="3"/>
      <c r="I956" s="436" t="s">
        <v>2234</v>
      </c>
    </row>
    <row r="957" spans="1:9" ht="12.75" customHeight="1">
      <c r="A957" s="386"/>
      <c r="B957" s="386"/>
      <c r="C957" s="386"/>
      <c r="D957" s="3"/>
      <c r="E957" s="3"/>
      <c r="F957" s="3"/>
      <c r="G957" s="3"/>
    </row>
    <row r="958" spans="1:9" ht="12.75" customHeight="1">
      <c r="A958" s="386"/>
      <c r="B958" s="386"/>
      <c r="C958" s="386"/>
      <c r="D958" s="1280" t="s">
        <v>2045</v>
      </c>
      <c r="E958" s="1280"/>
      <c r="F958" s="1280"/>
      <c r="G958"/>
    </row>
    <row r="959" spans="1:9" ht="12.75" customHeight="1">
      <c r="A959" s="176"/>
      <c r="B959" s="520" t="s">
        <v>2688</v>
      </c>
      <c r="C959" s="386"/>
      <c r="D959" s="1261" t="s">
        <v>2466</v>
      </c>
      <c r="E959" s="1261"/>
      <c r="F959" s="1261"/>
      <c r="G959"/>
      <c r="I959" s="436" t="s">
        <v>2234</v>
      </c>
    </row>
    <row r="960" spans="1:9" ht="12.75" customHeight="1">
      <c r="A960" s="176"/>
      <c r="B960" s="176"/>
      <c r="C960" s="386"/>
      <c r="D960" s="1261"/>
      <c r="E960" s="1261"/>
      <c r="F960" s="1261"/>
      <c r="G960"/>
    </row>
    <row r="961" spans="1:9" ht="12.75" customHeight="1">
      <c r="A961" s="176"/>
      <c r="B961" s="176"/>
      <c r="C961" s="386"/>
      <c r="D961" s="1261"/>
      <c r="E961" s="1261"/>
      <c r="F961" s="1261"/>
      <c r="G961"/>
    </row>
    <row r="962" spans="1:9" ht="12.75" customHeight="1">
      <c r="A962" s="176"/>
      <c r="B962" s="176"/>
      <c r="C962" s="386"/>
      <c r="D962" s="1261"/>
      <c r="E962" s="1261"/>
      <c r="F962" s="1261"/>
      <c r="G962"/>
    </row>
    <row r="963" spans="1:9" ht="12.75" customHeight="1">
      <c r="A963" s="176"/>
      <c r="B963" s="176"/>
      <c r="C963" s="386"/>
      <c r="D963" s="1261"/>
      <c r="E963" s="1261"/>
      <c r="F963" s="1261"/>
      <c r="G963"/>
    </row>
    <row r="964" spans="1:9" ht="12.75" customHeight="1">
      <c r="A964" s="176"/>
      <c r="B964" s="176"/>
      <c r="C964" s="386"/>
      <c r="D964" s="1261"/>
      <c r="E964" s="1261"/>
      <c r="F964" s="1261"/>
      <c r="G964"/>
    </row>
    <row r="965" spans="1:9" ht="12.75" customHeight="1">
      <c r="A965" s="176"/>
      <c r="B965" s="176"/>
      <c r="C965" s="386"/>
      <c r="D965" s="1261"/>
      <c r="E965" s="1261"/>
      <c r="F965" s="1261"/>
      <c r="G965"/>
    </row>
    <row r="966" spans="1:9" ht="12.75" customHeight="1">
      <c r="A966" s="176"/>
      <c r="B966" s="176"/>
      <c r="C966" s="386"/>
      <c r="D966" s="1261"/>
      <c r="E966" s="1261"/>
      <c r="F966" s="1261"/>
      <c r="G966"/>
    </row>
    <row r="967" spans="1:9" ht="12.75" customHeight="1">
      <c r="A967" s="176"/>
      <c r="B967" s="176"/>
      <c r="C967" s="386"/>
      <c r="D967" s="1261"/>
      <c r="E967" s="1261"/>
      <c r="F967" s="1261"/>
      <c r="G967"/>
    </row>
    <row r="968" spans="1:9" ht="12.75" customHeight="1">
      <c r="A968" s="176"/>
      <c r="B968" s="176"/>
      <c r="C968" s="386"/>
      <c r="D968" s="1261"/>
      <c r="E968" s="1261"/>
      <c r="F968" s="1261"/>
      <c r="G968"/>
    </row>
    <row r="969" spans="1:9" ht="12.75" customHeight="1">
      <c r="A969" s="176"/>
      <c r="B969" s="176"/>
      <c r="C969" s="386"/>
      <c r="D969" s="1261"/>
      <c r="E969" s="1261"/>
      <c r="F969" s="1261"/>
      <c r="G969"/>
    </row>
    <row r="970" spans="1:9" ht="12.75" customHeight="1">
      <c r="A970" s="176"/>
      <c r="B970" s="176"/>
      <c r="C970" s="386"/>
      <c r="D970" s="1261"/>
      <c r="E970" s="1261"/>
      <c r="F970" s="1261"/>
      <c r="G970"/>
    </row>
    <row r="971" spans="1:9" ht="12.75" customHeight="1">
      <c r="A971" s="176"/>
      <c r="B971" s="176"/>
      <c r="C971" s="386"/>
      <c r="D971" s="1261"/>
      <c r="E971" s="1261"/>
      <c r="F971" s="1261"/>
      <c r="G971"/>
    </row>
    <row r="972" spans="1:9" ht="12.75" customHeight="1">
      <c r="A972" s="176"/>
      <c r="B972" s="176"/>
      <c r="C972" s="386"/>
      <c r="D972" s="1261"/>
      <c r="E972" s="1261"/>
      <c r="F972" s="1261"/>
      <c r="G972"/>
    </row>
    <row r="973" spans="1:9" ht="12.75" customHeight="1">
      <c r="A973" s="176"/>
      <c r="B973" s="176"/>
      <c r="C973" s="386"/>
      <c r="D973" s="1261"/>
      <c r="E973" s="1261"/>
      <c r="F973" s="1261"/>
      <c r="G973" s="3"/>
    </row>
    <row r="974" spans="1:9" ht="12.75" customHeight="1">
      <c r="A974" s="386"/>
      <c r="B974" s="386"/>
      <c r="C974" s="386"/>
      <c r="D974" s="3"/>
      <c r="E974" s="3"/>
      <c r="F974" s="3"/>
      <c r="G974" s="3"/>
    </row>
    <row r="975" spans="1:9" ht="12.75" customHeight="1">
      <c r="A975" s="1289" t="s">
        <v>2046</v>
      </c>
      <c r="B975" s="1289"/>
      <c r="C975" s="1289"/>
      <c r="D975" s="1289"/>
      <c r="E975" s="1289"/>
      <c r="F975" s="1289"/>
      <c r="G975" s="1289"/>
      <c r="H975" s="1071"/>
      <c r="I975" s="1072"/>
    </row>
    <row r="976" spans="1:9" ht="12.75" customHeight="1">
      <c r="A976" s="118"/>
      <c r="B976" s="118"/>
      <c r="C976" s="386"/>
      <c r="D976" s="3"/>
      <c r="E976" s="3"/>
      <c r="F976" s="3"/>
      <c r="G976" s="3"/>
    </row>
    <row r="977" spans="1:9" ht="12.75" customHeight="1">
      <c r="A977" s="386"/>
      <c r="B977" s="386"/>
      <c r="C977" s="1026"/>
      <c r="D977" s="1280" t="s">
        <v>2069</v>
      </c>
      <c r="E977" s="1280"/>
      <c r="F977" s="1280"/>
      <c r="G977" s="3"/>
    </row>
    <row r="978" spans="1:9" ht="12.75" customHeight="1">
      <c r="A978" s="172"/>
      <c r="B978" s="172"/>
      <c r="C978" s="172"/>
      <c r="D978" s="1281" t="s">
        <v>2047</v>
      </c>
      <c r="E978" s="1281"/>
      <c r="F978" s="1281"/>
      <c r="G978" s="3"/>
    </row>
    <row r="979" spans="1:9" ht="12.75" customHeight="1">
      <c r="A979" s="172"/>
      <c r="B979" s="172"/>
      <c r="C979" s="172"/>
      <c r="D979" s="3"/>
      <c r="E979" s="3"/>
      <c r="F979" s="1025"/>
      <c r="G979"/>
    </row>
    <row r="980" spans="1:9" ht="12.75" customHeight="1">
      <c r="A980" s="386"/>
      <c r="B980" s="520" t="s">
        <v>2688</v>
      </c>
      <c r="C980" s="386"/>
      <c r="D980" s="1344" t="s">
        <v>2296</v>
      </c>
      <c r="E980" s="1344"/>
      <c r="F980" s="1344"/>
      <c r="G980"/>
      <c r="I980" s="436" t="s">
        <v>2214</v>
      </c>
    </row>
    <row r="981" spans="1:9" ht="12.75" customHeight="1">
      <c r="A981" s="386"/>
      <c r="B981" s="386"/>
      <c r="C981" s="386"/>
      <c r="D981" s="1344"/>
      <c r="E981" s="1344"/>
      <c r="F981" s="1344"/>
      <c r="G981"/>
    </row>
    <row r="982" spans="1:9" ht="12.75" customHeight="1">
      <c r="A982" s="386"/>
      <c r="B982" s="386"/>
      <c r="C982" s="386"/>
      <c r="D982" s="1082"/>
      <c r="E982" s="1080" t="s">
        <v>2297</v>
      </c>
      <c r="F982" s="1082"/>
      <c r="G982"/>
    </row>
    <row r="983" spans="1:9" ht="12.75" customHeight="1">
      <c r="A983" s="386"/>
      <c r="B983" s="386"/>
      <c r="C983" s="386"/>
      <c r="D983" s="1267" t="s">
        <v>2295</v>
      </c>
      <c r="E983" s="1267"/>
      <c r="F983" s="1267"/>
      <c r="G983"/>
    </row>
    <row r="984" spans="1:9" ht="12.75" customHeight="1">
      <c r="A984" s="386"/>
      <c r="B984" s="386"/>
      <c r="C984" s="386"/>
      <c r="D984" s="1267"/>
      <c r="E984" s="1267"/>
      <c r="F984" s="1267"/>
      <c r="G984"/>
    </row>
    <row r="985" spans="1:9" ht="12.75" customHeight="1">
      <c r="A985" s="175"/>
      <c r="B985" s="175"/>
      <c r="C985" s="175"/>
      <c r="D985" s="1267"/>
      <c r="E985" s="1267"/>
      <c r="F985" s="1267"/>
      <c r="G985"/>
    </row>
    <row r="986" spans="1:9" ht="12.75" customHeight="1">
      <c r="A986" s="175"/>
      <c r="B986" s="175"/>
      <c r="C986" s="175"/>
      <c r="D986" s="1267"/>
      <c r="E986" s="1267"/>
      <c r="F986" s="1267"/>
      <c r="G986"/>
    </row>
    <row r="987" spans="1:9" ht="12.75" customHeight="1">
      <c r="A987" s="175"/>
      <c r="B987" s="175"/>
      <c r="C987" s="175"/>
      <c r="D987" s="364"/>
      <c r="E987" s="364"/>
      <c r="F987" s="364"/>
      <c r="G987"/>
    </row>
    <row r="988" spans="1:9" ht="12.75" customHeight="1">
      <c r="A988" s="175"/>
      <c r="B988" s="520" t="s">
        <v>2687</v>
      </c>
      <c r="C988" s="175"/>
      <c r="D988" s="1261" t="s">
        <v>2048</v>
      </c>
      <c r="E988" s="1261"/>
      <c r="F988" s="1261"/>
      <c r="G988"/>
    </row>
    <row r="989" spans="1:9" ht="12.75" customHeight="1">
      <c r="A989" s="175"/>
      <c r="B989" s="175"/>
      <c r="C989" s="175"/>
      <c r="D989" s="1261"/>
      <c r="E989" s="1261"/>
      <c r="F989" s="1261"/>
      <c r="G989"/>
    </row>
    <row r="990" spans="1:9" ht="12.75" customHeight="1">
      <c r="A990" s="175"/>
      <c r="B990" s="175"/>
      <c r="C990" s="175"/>
      <c r="D990" s="1261"/>
      <c r="E990" s="1261"/>
      <c r="F990" s="1261"/>
      <c r="G990"/>
    </row>
    <row r="991" spans="1:9" ht="12.75" customHeight="1">
      <c r="A991" s="175"/>
      <c r="B991" s="175"/>
      <c r="C991" s="175"/>
      <c r="D991" s="1261"/>
      <c r="E991" s="1261"/>
      <c r="F991" s="1261"/>
      <c r="G991"/>
    </row>
    <row r="992" spans="1:9" ht="12.75" customHeight="1">
      <c r="A992" s="175"/>
      <c r="B992" s="175"/>
      <c r="C992" s="175"/>
      <c r="D992" s="475"/>
      <c r="E992" s="475"/>
      <c r="F992" s="475"/>
      <c r="G992"/>
    </row>
    <row r="993" spans="1:7" ht="12.75" customHeight="1">
      <c r="A993" s="175"/>
      <c r="B993" s="520" t="s">
        <v>2687</v>
      </c>
      <c r="C993" s="175"/>
      <c r="D993" s="1261" t="s">
        <v>2049</v>
      </c>
      <c r="E993" s="1261"/>
      <c r="F993" s="1261"/>
      <c r="G993"/>
    </row>
    <row r="994" spans="1:7" ht="12.75" customHeight="1">
      <c r="A994" s="175"/>
      <c r="B994" s="175"/>
      <c r="C994" s="175"/>
      <c r="D994" s="1261"/>
      <c r="E994" s="1261"/>
      <c r="F994" s="1261"/>
      <c r="G994"/>
    </row>
    <row r="995" spans="1:7" ht="12.75" customHeight="1">
      <c r="A995" s="175"/>
      <c r="B995" s="175"/>
      <c r="C995" s="175"/>
      <c r="D995" s="475"/>
      <c r="E995" s="475"/>
      <c r="F995" s="475"/>
      <c r="G995"/>
    </row>
    <row r="996" spans="1:7" ht="12.75" customHeight="1">
      <c r="A996" s="176"/>
      <c r="B996" s="520" t="s">
        <v>2687</v>
      </c>
      <c r="C996" s="386"/>
      <c r="D996" s="1281" t="s">
        <v>2050</v>
      </c>
      <c r="E996" s="1281"/>
      <c r="F996" s="1281"/>
      <c r="G996"/>
    </row>
    <row r="997" spans="1:7" ht="12.75" customHeight="1">
      <c r="A997" s="386"/>
      <c r="B997" s="386"/>
      <c r="C997" s="386"/>
      <c r="D997" s="3"/>
      <c r="E997" s="3"/>
      <c r="F997" s="3"/>
      <c r="G997"/>
    </row>
    <row r="998" spans="1:7" ht="12.75" customHeight="1">
      <c r="A998" s="176"/>
      <c r="B998" s="520" t="s">
        <v>2687</v>
      </c>
      <c r="C998" s="386"/>
      <c r="D998" s="1281" t="s">
        <v>2051</v>
      </c>
      <c r="E998" s="1281"/>
      <c r="F998" s="1281"/>
      <c r="G998"/>
    </row>
    <row r="999" spans="1:7" ht="12.75" customHeight="1">
      <c r="A999" s="386"/>
      <c r="B999" s="386"/>
      <c r="C999" s="386"/>
      <c r="D999" s="118"/>
      <c r="E999" s="3"/>
      <c r="F999" s="3"/>
      <c r="G999"/>
    </row>
    <row r="1000" spans="1:7" ht="12.75" customHeight="1">
      <c r="A1000" s="176"/>
      <c r="B1000" s="520" t="s">
        <v>2688</v>
      </c>
      <c r="C1000" s="386"/>
      <c r="D1000" s="1281" t="s">
        <v>2052</v>
      </c>
      <c r="E1000" s="1281"/>
      <c r="F1000" s="1281"/>
      <c r="G1000"/>
    </row>
    <row r="1001" spans="1:7" ht="12.75" customHeight="1">
      <c r="A1001" s="386"/>
      <c r="B1001" s="386"/>
      <c r="C1001" s="386"/>
      <c r="D1001" s="118"/>
      <c r="E1001" s="3"/>
      <c r="F1001" s="3"/>
      <c r="G1001"/>
    </row>
    <row r="1002" spans="1:7" ht="12.75" customHeight="1">
      <c r="A1002" s="176"/>
      <c r="B1002" s="520" t="s">
        <v>2688</v>
      </c>
      <c r="C1002" s="386"/>
      <c r="D1002" s="1261" t="s">
        <v>2053</v>
      </c>
      <c r="E1002" s="1261"/>
      <c r="F1002" s="1261"/>
      <c r="G1002"/>
    </row>
    <row r="1003" spans="1:7" ht="12.75" customHeight="1">
      <c r="A1003" s="176"/>
      <c r="B1003" s="176"/>
      <c r="C1003" s="386"/>
      <c r="D1003" s="1261"/>
      <c r="E1003" s="1261"/>
      <c r="F1003" s="1261"/>
      <c r="G1003"/>
    </row>
    <row r="1004" spans="1:7" ht="12.75" customHeight="1">
      <c r="A1004" s="176"/>
      <c r="B1004" s="176"/>
      <c r="C1004" s="386"/>
      <c r="D1004" s="118"/>
      <c r="E1004" s="3"/>
      <c r="F1004" s="3"/>
      <c r="G1004" s="3"/>
    </row>
    <row r="1005" spans="1:7" ht="12.75" customHeight="1">
      <c r="A1005" s="272"/>
      <c r="B1005" s="520" t="s">
        <v>2687</v>
      </c>
      <c r="C1005" s="1037"/>
      <c r="D1005" s="1294" t="s">
        <v>2054</v>
      </c>
      <c r="E1005" s="1294"/>
      <c r="F1005" s="1294"/>
      <c r="G1005" s="1038"/>
    </row>
    <row r="1006" spans="1:7" ht="12.75" customHeight="1">
      <c r="A1006" s="1037"/>
      <c r="B1006" s="1037"/>
      <c r="C1006" s="1037"/>
      <c r="D1006" s="1294"/>
      <c r="E1006" s="1294"/>
      <c r="F1006" s="1294"/>
      <c r="G1006" s="1038"/>
    </row>
    <row r="1007" spans="1:7" ht="12.75" customHeight="1">
      <c r="A1007" s="1037"/>
      <c r="B1007" s="1037"/>
      <c r="C1007" s="1037"/>
      <c r="D1007" s="1021"/>
      <c r="E1007" s="1038"/>
      <c r="F1007" s="1038"/>
      <c r="G1007" s="1038"/>
    </row>
    <row r="1008" spans="1:7" ht="12.75" customHeight="1">
      <c r="A1008" s="272"/>
      <c r="B1008" s="520" t="s">
        <v>2687</v>
      </c>
      <c r="C1008" s="1037"/>
      <c r="D1008" s="1343" t="s">
        <v>2055</v>
      </c>
      <c r="E1008" s="1343"/>
      <c r="F1008" s="1343"/>
      <c r="G1008" s="1038"/>
    </row>
    <row r="1009" spans="1:9" ht="12.75" customHeight="1">
      <c r="A1009" s="1037"/>
      <c r="B1009" s="1037"/>
      <c r="C1009" s="1037"/>
      <c r="D1009" s="1021"/>
      <c r="E1009" s="1038"/>
      <c r="F1009" s="1038"/>
      <c r="G1009" s="1038"/>
    </row>
    <row r="1010" spans="1:9" ht="12.75" customHeight="1">
      <c r="A1010" s="176"/>
      <c r="B1010" s="520" t="s">
        <v>2687</v>
      </c>
      <c r="C1010" s="386"/>
      <c r="D1010" s="1281" t="s">
        <v>2056</v>
      </c>
      <c r="E1010" s="1281"/>
      <c r="F1010" s="1281"/>
      <c r="G1010" s="3"/>
    </row>
    <row r="1011" spans="1:9" ht="12.75" customHeight="1">
      <c r="A1011" s="176"/>
      <c r="B1011" s="176"/>
      <c r="C1011" s="386"/>
      <c r="D1011" s="118"/>
      <c r="E1011" s="3"/>
      <c r="F1011" s="3"/>
      <c r="G1011" s="3"/>
    </row>
    <row r="1012" spans="1:9" ht="12.75" customHeight="1">
      <c r="A1012" s="176"/>
      <c r="B1012" s="520" t="s">
        <v>2687</v>
      </c>
      <c r="C1012" s="386"/>
      <c r="D1012" s="1261" t="s">
        <v>2057</v>
      </c>
      <c r="E1012" s="1261"/>
      <c r="F1012" s="1261"/>
      <c r="G1012" s="3"/>
    </row>
    <row r="1013" spans="1:9" ht="12.75" customHeight="1">
      <c r="A1013" s="176"/>
      <c r="B1013" s="176"/>
      <c r="C1013" s="386"/>
      <c r="D1013" s="1261"/>
      <c r="E1013" s="1261"/>
      <c r="F1013" s="1261"/>
      <c r="G1013" s="3"/>
    </row>
    <row r="1014" spans="1:9" ht="12.75" customHeight="1">
      <c r="A1014" s="386"/>
      <c r="B1014" s="386"/>
      <c r="C1014" s="386"/>
      <c r="D1014" s="3"/>
      <c r="E1014" s="3"/>
      <c r="F1014" s="3"/>
      <c r="G1014" s="3"/>
    </row>
    <row r="1015" spans="1:9" ht="12.75" customHeight="1">
      <c r="A1015" s="1289" t="s">
        <v>2058</v>
      </c>
      <c r="B1015" s="1289"/>
      <c r="C1015" s="1289"/>
      <c r="D1015" s="1289"/>
      <c r="E1015" s="1289"/>
      <c r="F1015" s="1289"/>
      <c r="G1015" s="1289"/>
      <c r="H1015" s="1071"/>
      <c r="I1015" s="1072"/>
    </row>
    <row r="1016" spans="1:9" ht="12.75" customHeight="1">
      <c r="A1016" s="386"/>
      <c r="B1016" s="386"/>
      <c r="C1016" s="386"/>
      <c r="D1016" s="3"/>
      <c r="E1016" s="3"/>
      <c r="F1016" s="3"/>
      <c r="G1016" s="3"/>
    </row>
    <row r="1017" spans="1:9" ht="12.75" customHeight="1">
      <c r="A1017" s="386"/>
      <c r="B1017" s="386"/>
      <c r="C1017" s="386"/>
      <c r="D1017" s="1295" t="s">
        <v>2059</v>
      </c>
      <c r="E1017" s="1295"/>
      <c r="F1017" s="1295"/>
      <c r="G1017" s="3"/>
    </row>
    <row r="1018" spans="1:9" ht="12.75" customHeight="1">
      <c r="A1018" s="386"/>
      <c r="B1018" s="386"/>
      <c r="C1018" s="386"/>
      <c r="D1018" s="1343" t="s">
        <v>2060</v>
      </c>
      <c r="E1018" s="1343"/>
      <c r="F1018" s="1343"/>
      <c r="G1018" s="3"/>
    </row>
    <row r="1019" spans="1:9" ht="12.75" customHeight="1">
      <c r="A1019" s="172"/>
      <c r="B1019" s="172"/>
      <c r="C1019" s="172"/>
      <c r="D1019" s="3"/>
      <c r="E1019" s="3"/>
      <c r="F1019" s="3"/>
      <c r="G1019" s="3"/>
    </row>
    <row r="1020" spans="1:9" ht="12.75" customHeight="1">
      <c r="A1020" s="176"/>
      <c r="B1020" s="176"/>
      <c r="C1020" s="175"/>
      <c r="D1020" s="1295" t="s">
        <v>2074</v>
      </c>
      <c r="E1020" s="1295"/>
      <c r="F1020" s="1295"/>
      <c r="G1020" s="3"/>
      <c r="I1020" s="436" t="s">
        <v>2186</v>
      </c>
    </row>
    <row r="1021" spans="1:9" ht="12.75" customHeight="1">
      <c r="A1021" s="386"/>
      <c r="B1021" s="520" t="s">
        <v>2688</v>
      </c>
      <c r="C1021" s="386"/>
      <c r="D1021" s="1343" t="s">
        <v>1428</v>
      </c>
      <c r="E1021" s="1343"/>
      <c r="F1021" s="1343"/>
      <c r="G1021" s="3"/>
    </row>
    <row r="1022" spans="1:9" ht="12.75" customHeight="1">
      <c r="A1022" s="386"/>
      <c r="B1022" s="176"/>
      <c r="C1022" s="386"/>
      <c r="D1022" s="1343" t="s">
        <v>2061</v>
      </c>
      <c r="E1022" s="1343"/>
      <c r="F1022" s="1343"/>
      <c r="G1022" s="3"/>
    </row>
    <row r="1023" spans="1:9" ht="12.75" customHeight="1">
      <c r="A1023" s="386"/>
      <c r="B1023" s="386"/>
      <c r="C1023" s="386"/>
      <c r="D1023" s="1343"/>
      <c r="E1023" s="1343"/>
      <c r="F1023" s="1343"/>
      <c r="G1023" s="3"/>
    </row>
    <row r="1024" spans="1:9" ht="12.75" customHeight="1">
      <c r="A1024" s="1289" t="s">
        <v>2070</v>
      </c>
      <c r="B1024" s="1289"/>
      <c r="C1024" s="1289"/>
      <c r="D1024" s="1289"/>
      <c r="E1024" s="1289"/>
      <c r="F1024" s="1289"/>
      <c r="G1024" s="1289"/>
      <c r="H1024" s="1071"/>
      <c r="I1024" s="1072"/>
    </row>
    <row r="1025" spans="1:9" ht="12.75" customHeight="1">
      <c r="A1025" s="118"/>
      <c r="B1025" s="118"/>
      <c r="C1025" s="386"/>
      <c r="D1025" s="3"/>
      <c r="E1025" s="3"/>
      <c r="F1025" s="3"/>
      <c r="G1025" s="3"/>
    </row>
    <row r="1026" spans="1:9" ht="12.75" hidden="1" customHeight="1">
      <c r="A1026" s="118"/>
      <c r="B1026" s="434"/>
      <c r="D1026" s="1290" t="s">
        <v>1429</v>
      </c>
      <c r="E1026" s="1290"/>
      <c r="F1026" s="1290"/>
      <c r="G1026" s="3"/>
    </row>
    <row r="1027" spans="1:9" ht="12.75" hidden="1" customHeight="1">
      <c r="A1027" s="118"/>
      <c r="B1027" s="520" t="s">
        <v>309</v>
      </c>
      <c r="D1027" s="1275" t="s">
        <v>1428</v>
      </c>
      <c r="E1027" s="1275"/>
      <c r="F1027" s="1275"/>
      <c r="G1027" s="3"/>
    </row>
    <row r="1028" spans="1:9" ht="12.75" hidden="1" customHeight="1">
      <c r="A1028" s="118"/>
      <c r="B1028" s="434"/>
      <c r="D1028" s="1275" t="s">
        <v>2071</v>
      </c>
      <c r="E1028" s="1275"/>
      <c r="F1028" s="1275"/>
      <c r="G1028" s="3"/>
    </row>
    <row r="1029" spans="1:9" ht="12.75" hidden="1" customHeight="1">
      <c r="A1029" s="118"/>
      <c r="B1029" s="434"/>
      <c r="D1029" s="479"/>
      <c r="E1029" s="479"/>
      <c r="F1029" s="479"/>
      <c r="G1029" s="3"/>
    </row>
    <row r="1030" spans="1:9" ht="12.75" customHeight="1">
      <c r="A1030" s="118"/>
      <c r="B1030" s="118"/>
      <c r="C1030" s="386"/>
      <c r="D1030" s="1349" t="s">
        <v>1131</v>
      </c>
      <c r="E1030" s="1349"/>
      <c r="F1030" s="1349"/>
      <c r="G1030" s="3"/>
      <c r="I1030" s="436" t="s">
        <v>2215</v>
      </c>
    </row>
    <row r="1031" spans="1:9" ht="12.75" customHeight="1">
      <c r="A1031" s="346"/>
      <c r="B1031" s="346"/>
      <c r="C1031" s="346"/>
      <c r="D1031" s="1285" t="s">
        <v>1148</v>
      </c>
      <c r="E1031" s="1285"/>
      <c r="F1031" s="1285"/>
      <c r="G1031" s="98"/>
    </row>
    <row r="1032" spans="1:9" ht="12.75" customHeight="1">
      <c r="A1032" s="176"/>
      <c r="B1032" s="520" t="s">
        <v>2687</v>
      </c>
      <c r="C1032" s="386"/>
      <c r="D1032" s="1285" t="s">
        <v>1025</v>
      </c>
      <c r="E1032" s="1285"/>
      <c r="F1032" s="1285"/>
      <c r="G1032" s="3"/>
    </row>
    <row r="1033" spans="1:9" ht="12.75" customHeight="1">
      <c r="A1033" s="386"/>
      <c r="B1033" s="386"/>
      <c r="C1033" s="386"/>
      <c r="D1033" s="1080" t="s">
        <v>2298</v>
      </c>
      <c r="E1033" s="96"/>
      <c r="F1033" s="96"/>
      <c r="G1033" s="3"/>
    </row>
    <row r="1034" spans="1:9">
      <c r="A1034" s="434"/>
      <c r="B1034" s="434"/>
      <c r="C1034" s="434"/>
    </row>
    <row r="1035" spans="1:9">
      <c r="A1035" s="1289" t="s">
        <v>2091</v>
      </c>
      <c r="B1035" s="1289"/>
      <c r="C1035" s="1289"/>
      <c r="D1035" s="1289"/>
      <c r="E1035" s="1289"/>
      <c r="F1035" s="1289"/>
      <c r="G1035" s="1289"/>
      <c r="H1035" s="1071"/>
      <c r="I1035" s="1072"/>
    </row>
    <row r="1036" spans="1:9">
      <c r="A1036" s="434"/>
      <c r="B1036" s="434"/>
      <c r="C1036" s="434"/>
    </row>
    <row r="1037" spans="1:9">
      <c r="A1037" s="434"/>
      <c r="B1037" s="434"/>
      <c r="C1037" s="434"/>
      <c r="D1037" s="436" t="s">
        <v>2077</v>
      </c>
    </row>
    <row r="1038" spans="1:9">
      <c r="A1038" s="434"/>
      <c r="B1038" s="434"/>
      <c r="C1038" s="434"/>
      <c r="D1038" s="434" t="s">
        <v>2076</v>
      </c>
    </row>
    <row r="1039" spans="1:9">
      <c r="A1039" s="434"/>
      <c r="B1039" s="434"/>
      <c r="C1039" s="434"/>
      <c r="D1039" s="436"/>
    </row>
    <row r="1040" spans="1:9">
      <c r="A1040" s="434"/>
      <c r="B1040" s="520" t="s">
        <v>2687</v>
      </c>
      <c r="C1040" s="434"/>
      <c r="D1040" s="1346" t="s">
        <v>2075</v>
      </c>
      <c r="E1040" s="1346"/>
      <c r="F1040" s="1346"/>
      <c r="I1040" s="436" t="s">
        <v>2187</v>
      </c>
    </row>
    <row r="1041" spans="1:9">
      <c r="A1041" s="434"/>
      <c r="B1041" s="434"/>
      <c r="C1041" s="434"/>
      <c r="D1041" s="1346"/>
      <c r="E1041" s="1346"/>
      <c r="F1041" s="1346"/>
    </row>
    <row r="1042" spans="1:9">
      <c r="A1042" s="434"/>
      <c r="B1042" s="434"/>
      <c r="C1042" s="434"/>
      <c r="D1042" s="1346"/>
      <c r="E1042" s="1346"/>
      <c r="F1042" s="1346"/>
    </row>
    <row r="1043" spans="1:9">
      <c r="A1043" s="434"/>
      <c r="B1043" s="434"/>
      <c r="C1043" s="434"/>
      <c r="D1043" s="1346"/>
      <c r="E1043" s="1346"/>
      <c r="F1043" s="1346"/>
    </row>
    <row r="1044" spans="1:9">
      <c r="A1044" s="434"/>
      <c r="B1044" s="434"/>
      <c r="C1044" s="434"/>
    </row>
    <row r="1045" spans="1:9">
      <c r="A1045" s="434"/>
      <c r="B1045" s="434"/>
      <c r="C1045" s="434"/>
      <c r="D1045" s="436" t="s">
        <v>1484</v>
      </c>
    </row>
    <row r="1046" spans="1:9">
      <c r="A1046" s="434"/>
      <c r="B1046" s="434"/>
      <c r="C1046" s="434"/>
      <c r="D1046" s="434" t="s">
        <v>2078</v>
      </c>
    </row>
    <row r="1047" spans="1:9">
      <c r="A1047" s="434"/>
      <c r="B1047" s="434"/>
      <c r="C1047" s="434"/>
    </row>
    <row r="1048" spans="1:9">
      <c r="A1048" s="434"/>
      <c r="B1048" s="520" t="s">
        <v>2688</v>
      </c>
      <c r="C1048" s="434"/>
      <c r="D1048" s="434" t="s">
        <v>2073</v>
      </c>
      <c r="I1048" s="436" t="s">
        <v>2188</v>
      </c>
    </row>
    <row r="1049" spans="1:9">
      <c r="A1049" s="434"/>
      <c r="B1049" s="434"/>
      <c r="C1049" s="434"/>
    </row>
    <row r="1050" spans="1:9">
      <c r="A1050" s="434"/>
      <c r="B1050" s="520" t="s">
        <v>2687</v>
      </c>
      <c r="C1050" s="434"/>
      <c r="D1050" s="1346" t="s">
        <v>2079</v>
      </c>
      <c r="E1050" s="1346"/>
      <c r="F1050" s="1346"/>
      <c r="I1050" s="436" t="s">
        <v>2189</v>
      </c>
    </row>
    <row r="1051" spans="1:9">
      <c r="A1051" s="434"/>
      <c r="B1051" s="434"/>
      <c r="C1051" s="434"/>
      <c r="D1051" s="1346"/>
      <c r="E1051" s="1346"/>
      <c r="F1051" s="1346"/>
    </row>
    <row r="1052" spans="1:9">
      <c r="A1052" s="434"/>
      <c r="B1052" s="434"/>
      <c r="C1052" s="434"/>
      <c r="D1052" s="1346"/>
      <c r="E1052" s="1346"/>
      <c r="F1052" s="1346"/>
    </row>
    <row r="1053" spans="1:9">
      <c r="A1053" s="434"/>
      <c r="B1053" s="434"/>
      <c r="C1053" s="434"/>
      <c r="D1053" s="1346"/>
      <c r="E1053" s="1346"/>
      <c r="F1053" s="1346"/>
    </row>
    <row r="1054" spans="1:9">
      <c r="A1054" s="434"/>
      <c r="B1054" s="434"/>
      <c r="C1054" s="434"/>
      <c r="D1054" s="1346"/>
      <c r="E1054" s="1346"/>
      <c r="F1054" s="1346"/>
    </row>
    <row r="1055" spans="1:9">
      <c r="A1055" s="434"/>
      <c r="B1055" s="434"/>
      <c r="C1055" s="434"/>
    </row>
    <row r="1056" spans="1:9">
      <c r="A1056" s="1289" t="s">
        <v>2080</v>
      </c>
      <c r="B1056" s="1289"/>
      <c r="C1056" s="1289"/>
      <c r="D1056" s="1289"/>
      <c r="E1056" s="1289"/>
      <c r="F1056" s="1289"/>
      <c r="G1056" s="1289"/>
      <c r="H1056" s="1071"/>
      <c r="I1056" s="1072"/>
    </row>
    <row r="1057" spans="1:9">
      <c r="A1057" s="434"/>
      <c r="B1057" s="434"/>
      <c r="C1057" s="434"/>
    </row>
    <row r="1058" spans="1:9">
      <c r="A1058" s="434"/>
      <c r="B1058" s="434"/>
      <c r="C1058" s="434"/>
    </row>
    <row r="1059" spans="1:9">
      <c r="A1059" s="434"/>
      <c r="B1059" s="520" t="s">
        <v>2688</v>
      </c>
      <c r="C1059" s="434"/>
      <c r="D1059" s="562" t="s">
        <v>2083</v>
      </c>
      <c r="I1059" s="436" t="s">
        <v>2190</v>
      </c>
    </row>
    <row r="1060" spans="1:9">
      <c r="A1060" s="434"/>
      <c r="B1060" s="434"/>
      <c r="C1060" s="434"/>
      <c r="D1060" s="562" t="s">
        <v>2085</v>
      </c>
    </row>
    <row r="1061" spans="1:9">
      <c r="A1061" s="434"/>
      <c r="B1061" s="434"/>
      <c r="C1061" s="434"/>
      <c r="D1061" s="562"/>
    </row>
    <row r="1062" spans="1:9">
      <c r="A1062" s="434"/>
      <c r="B1062" s="520" t="s">
        <v>2687</v>
      </c>
      <c r="C1062" s="434"/>
      <c r="D1062" s="562" t="s">
        <v>2086</v>
      </c>
      <c r="I1062" s="436" t="s">
        <v>2191</v>
      </c>
    </row>
    <row r="1063" spans="1:9">
      <c r="A1063" s="434"/>
      <c r="B1063" s="434"/>
      <c r="C1063" s="434"/>
      <c r="D1063" s="562" t="s">
        <v>2084</v>
      </c>
    </row>
    <row r="1064" spans="1:9">
      <c r="A1064" s="434"/>
      <c r="B1064" s="434"/>
      <c r="C1064" s="434"/>
      <c r="D1064" s="562"/>
    </row>
    <row r="1065" spans="1:9">
      <c r="A1065" s="434"/>
      <c r="B1065" s="520" t="s">
        <v>2687</v>
      </c>
      <c r="C1065" s="434"/>
      <c r="D1065" s="119" t="s">
        <v>2089</v>
      </c>
      <c r="I1065" s="436" t="s">
        <v>2192</v>
      </c>
    </row>
    <row r="1066" spans="1:9">
      <c r="A1066" s="434"/>
      <c r="B1066" s="434"/>
      <c r="C1066" s="434"/>
      <c r="D1066" s="1261" t="s">
        <v>2090</v>
      </c>
      <c r="E1066" s="1261"/>
      <c r="F1066" s="1261"/>
    </row>
    <row r="1067" spans="1:9">
      <c r="A1067" s="434"/>
      <c r="B1067" s="434"/>
      <c r="C1067" s="434"/>
      <c r="D1067" s="1261"/>
      <c r="E1067" s="1261"/>
      <c r="F1067" s="1261"/>
    </row>
    <row r="1068" spans="1:9">
      <c r="A1068" s="434"/>
      <c r="B1068" s="434"/>
      <c r="C1068" s="434"/>
      <c r="D1068" s="1261"/>
      <c r="E1068" s="1261"/>
      <c r="F1068" s="1261"/>
    </row>
    <row r="1069" spans="1:9">
      <c r="A1069" s="434"/>
      <c r="B1069" s="434"/>
      <c r="C1069" s="434"/>
      <c r="D1069" s="1261"/>
      <c r="E1069" s="1261"/>
      <c r="F1069" s="1261"/>
    </row>
    <row r="1070" spans="1:9">
      <c r="A1070" s="434"/>
      <c r="B1070" s="434"/>
      <c r="C1070" s="434"/>
      <c r="D1070" s="119" t="s">
        <v>2088</v>
      </c>
    </row>
    <row r="1071" spans="1:9">
      <c r="A1071" s="434"/>
      <c r="B1071" s="434"/>
      <c r="C1071" s="434"/>
      <c r="D1071" s="119"/>
    </row>
    <row r="1072" spans="1:9">
      <c r="A1072" s="434"/>
      <c r="B1072" s="434"/>
      <c r="C1072" s="434"/>
      <c r="D1072" s="562" t="s">
        <v>2081</v>
      </c>
      <c r="I1072" s="436" t="s">
        <v>2193</v>
      </c>
    </row>
    <row r="1073" spans="1:9">
      <c r="A1073" s="434"/>
      <c r="B1073" s="520" t="s">
        <v>2687</v>
      </c>
      <c r="C1073" s="434"/>
      <c r="D1073" s="1345" t="s">
        <v>2082</v>
      </c>
      <c r="E1073" s="1345"/>
      <c r="F1073" s="1345"/>
    </row>
    <row r="1074" spans="1:9">
      <c r="A1074" s="434"/>
      <c r="B1074" s="434"/>
      <c r="C1074" s="434"/>
      <c r="D1074" s="1345"/>
      <c r="E1074" s="1345"/>
      <c r="F1074" s="1345"/>
    </row>
    <row r="1075" spans="1:9">
      <c r="A1075" s="434"/>
      <c r="B1075" s="434"/>
      <c r="C1075" s="434"/>
      <c r="D1075" s="1345"/>
      <c r="E1075" s="1345"/>
      <c r="F1075" s="1345"/>
    </row>
    <row r="1076" spans="1:9">
      <c r="A1076" s="434"/>
      <c r="B1076" s="434"/>
      <c r="C1076" s="434"/>
      <c r="D1076" s="1345"/>
      <c r="E1076" s="1345"/>
      <c r="F1076" s="1345"/>
    </row>
    <row r="1077" spans="1:9">
      <c r="A1077" s="434"/>
      <c r="B1077" s="434"/>
      <c r="C1077" s="434"/>
      <c r="D1077" s="1345"/>
      <c r="E1077" s="1345"/>
      <c r="F1077" s="1345"/>
    </row>
    <row r="1078" spans="1:9">
      <c r="A1078" s="434"/>
      <c r="B1078" s="434"/>
      <c r="C1078" s="434"/>
      <c r="D1078" s="562" t="s">
        <v>2087</v>
      </c>
    </row>
    <row r="1079" spans="1:9">
      <c r="A1079" s="434"/>
      <c r="B1079" s="434"/>
      <c r="C1079" s="434"/>
    </row>
    <row r="1080" spans="1:9">
      <c r="A1080" s="1289" t="s">
        <v>2092</v>
      </c>
      <c r="B1080" s="1289"/>
      <c r="C1080" s="1289"/>
      <c r="D1080" s="1289"/>
      <c r="E1080" s="1289"/>
      <c r="F1080" s="1289"/>
      <c r="G1080" s="1289"/>
      <c r="H1080" s="1071"/>
      <c r="I1080" s="1072"/>
    </row>
    <row r="1081" spans="1:9">
      <c r="A1081" s="434"/>
      <c r="B1081" s="434"/>
      <c r="C1081" s="434"/>
    </row>
    <row r="1082" spans="1:9">
      <c r="A1082" s="434"/>
      <c r="B1082" s="434"/>
      <c r="C1082" s="434"/>
    </row>
    <row r="1083" spans="1:9" ht="12.75" customHeight="1">
      <c r="A1083" s="434"/>
      <c r="B1083" s="520" t="s">
        <v>2687</v>
      </c>
      <c r="C1083" s="434"/>
      <c r="D1083" s="1347" t="s">
        <v>2310</v>
      </c>
      <c r="E1083" s="1347"/>
      <c r="F1083" s="1347"/>
      <c r="I1083" s="436" t="s">
        <v>2194</v>
      </c>
    </row>
    <row r="1084" spans="1:9">
      <c r="A1084" s="434"/>
      <c r="B1084" s="434"/>
      <c r="C1084" s="434"/>
      <c r="D1084" s="1347"/>
      <c r="E1084" s="1347"/>
      <c r="F1084" s="1347"/>
    </row>
    <row r="1085" spans="1:9">
      <c r="A1085" s="434"/>
      <c r="B1085" s="434"/>
      <c r="C1085" s="434"/>
      <c r="D1085" s="1348" t="s">
        <v>2615</v>
      </c>
      <c r="E1085" s="1261"/>
      <c r="F1085" s="1261"/>
    </row>
    <row r="1086" spans="1:9">
      <c r="A1086" s="434"/>
      <c r="B1086" s="434"/>
      <c r="C1086" s="434"/>
      <c r="D1086" s="562"/>
    </row>
    <row r="1087" spans="1:9">
      <c r="A1087" s="434"/>
      <c r="B1087" s="520" t="s">
        <v>2687</v>
      </c>
      <c r="C1087" s="434"/>
      <c r="D1087" s="1345" t="s">
        <v>2093</v>
      </c>
      <c r="E1087" s="1345"/>
      <c r="F1087" s="1345"/>
      <c r="I1087" s="436" t="s">
        <v>2195</v>
      </c>
    </row>
    <row r="1088" spans="1:9">
      <c r="A1088" s="434"/>
      <c r="B1088" s="434"/>
      <c r="C1088" s="434"/>
      <c r="D1088" s="1345"/>
      <c r="E1088" s="1345"/>
      <c r="F1088" s="1345"/>
    </row>
    <row r="1089" spans="1:9">
      <c r="A1089" s="434"/>
      <c r="B1089" s="434"/>
      <c r="C1089" s="434"/>
      <c r="D1089" s="562"/>
    </row>
    <row r="1090" spans="1:9">
      <c r="A1090" s="434"/>
      <c r="B1090" s="520" t="s">
        <v>2687</v>
      </c>
      <c r="C1090" s="434"/>
      <c r="D1090" s="1345" t="s">
        <v>2239</v>
      </c>
      <c r="E1090" s="1345"/>
      <c r="F1090" s="1345"/>
      <c r="I1090" s="436" t="s">
        <v>2237</v>
      </c>
    </row>
    <row r="1091" spans="1:9">
      <c r="A1091" s="434"/>
      <c r="B1091" s="434"/>
      <c r="C1091" s="434"/>
      <c r="D1091" s="1345"/>
      <c r="E1091" s="1345"/>
      <c r="F1091" s="1345"/>
    </row>
    <row r="1092" spans="1:9">
      <c r="A1092" s="434"/>
      <c r="B1092" s="434"/>
      <c r="C1092" s="434"/>
      <c r="D1092" s="1345"/>
      <c r="E1092" s="1345"/>
      <c r="F1092" s="1345"/>
    </row>
    <row r="1093" spans="1:9">
      <c r="A1093" s="434"/>
      <c r="B1093" s="434"/>
      <c r="C1093" s="434"/>
      <c r="D1093" s="1345"/>
      <c r="E1093" s="1345"/>
      <c r="F1093" s="1345"/>
    </row>
    <row r="1094" spans="1:9">
      <c r="A1094" s="434"/>
      <c r="B1094" s="434"/>
      <c r="C1094" s="434"/>
      <c r="D1094" s="1345"/>
      <c r="E1094" s="1345"/>
      <c r="F1094" s="1345"/>
    </row>
    <row r="1095" spans="1:9">
      <c r="A1095" s="434"/>
      <c r="B1095" s="434"/>
      <c r="C1095" s="434"/>
      <c r="D1095" s="1345"/>
      <c r="E1095" s="1345"/>
      <c r="F1095" s="1345"/>
    </row>
    <row r="1096" spans="1:9">
      <c r="A1096" s="434"/>
      <c r="B1096" s="434"/>
      <c r="C1096" s="434"/>
      <c r="D1096" s="562" t="s">
        <v>2238</v>
      </c>
      <c r="I1096" s="434"/>
    </row>
    <row r="1097" spans="1:9">
      <c r="A1097" s="434"/>
      <c r="B1097" s="520" t="s">
        <v>2687</v>
      </c>
      <c r="C1097" s="434"/>
      <c r="D1097" s="1345" t="s">
        <v>2094</v>
      </c>
      <c r="E1097" s="1345"/>
      <c r="F1097" s="1345"/>
      <c r="I1097" s="436" t="s">
        <v>2196</v>
      </c>
    </row>
    <row r="1098" spans="1:9">
      <c r="A1098" s="434"/>
      <c r="B1098" s="434"/>
      <c r="C1098" s="434"/>
      <c r="D1098" s="1345"/>
      <c r="E1098" s="1345"/>
      <c r="F1098" s="1345"/>
    </row>
    <row r="1099" spans="1:9">
      <c r="A1099" s="434"/>
      <c r="B1099" s="434"/>
      <c r="C1099" s="434"/>
      <c r="D1099" s="1345"/>
      <c r="E1099" s="1345"/>
      <c r="F1099" s="1345"/>
    </row>
    <row r="1100" spans="1:9">
      <c r="A1100" s="434"/>
      <c r="B1100" s="434"/>
      <c r="C1100" s="434"/>
      <c r="D1100" s="562"/>
    </row>
    <row r="1101" spans="1:9">
      <c r="A1101" s="434"/>
      <c r="B1101" s="520" t="s">
        <v>2688</v>
      </c>
      <c r="C1101" s="434"/>
      <c r="D1101" s="1267" t="s">
        <v>2240</v>
      </c>
      <c r="E1101" s="1267"/>
      <c r="F1101" s="1267"/>
      <c r="I1101" s="436" t="s">
        <v>2197</v>
      </c>
    </row>
    <row r="1102" spans="1:9">
      <c r="A1102" s="434"/>
      <c r="B1102" s="434"/>
      <c r="C1102" s="434"/>
      <c r="D1102" s="1267"/>
      <c r="E1102" s="1267"/>
      <c r="F1102" s="1267"/>
    </row>
    <row r="1103" spans="1:9">
      <c r="A1103" s="434"/>
      <c r="B1103" s="434"/>
      <c r="C1103" s="434"/>
      <c r="D1103" s="1267"/>
      <c r="E1103" s="1267"/>
      <c r="F1103" s="1267"/>
    </row>
    <row r="1104" spans="1:9">
      <c r="A1104" s="434"/>
      <c r="B1104" s="434"/>
      <c r="C1104" s="434"/>
      <c r="D1104" s="1017"/>
      <c r="E1104" s="1017"/>
      <c r="F1104" s="1017"/>
    </row>
    <row r="1105" spans="1:9" ht="15.75" customHeight="1">
      <c r="A1105" s="434"/>
      <c r="B1105" s="520" t="s">
        <v>2687</v>
      </c>
      <c r="C1105" s="434"/>
      <c r="D1105" s="1261" t="s">
        <v>2242</v>
      </c>
      <c r="E1105" s="1261"/>
      <c r="F1105" s="1261"/>
      <c r="I1105" s="436" t="s">
        <v>2241</v>
      </c>
    </row>
    <row r="1106" spans="1:9">
      <c r="A1106" s="434"/>
      <c r="B1106" s="434"/>
      <c r="C1106" s="434"/>
      <c r="D1106" s="1261"/>
      <c r="E1106" s="1261"/>
      <c r="F1106" s="1261"/>
    </row>
    <row r="1107" spans="1:9">
      <c r="A1107" s="434"/>
      <c r="B1107" s="434"/>
      <c r="C1107" s="434"/>
      <c r="D1107" s="1261"/>
      <c r="E1107" s="1261"/>
      <c r="F1107" s="1261"/>
    </row>
    <row r="1108" spans="1:9">
      <c r="A1108" s="434"/>
      <c r="B1108" s="434"/>
      <c r="C1108" s="434"/>
      <c r="D1108" s="1261"/>
      <c r="E1108" s="1261"/>
      <c r="F1108" s="1261"/>
    </row>
    <row r="1109" spans="1:9">
      <c r="A1109" s="434"/>
      <c r="B1109" s="434"/>
      <c r="C1109" s="434"/>
      <c r="D1109" s="1017"/>
      <c r="E1109" s="1017"/>
      <c r="F1109" s="1017"/>
    </row>
    <row r="1110" spans="1:9" ht="39.6">
      <c r="A1110" s="434"/>
      <c r="B1110" s="434"/>
      <c r="C1110" s="434"/>
      <c r="I1110" s="448" t="s">
        <v>2467</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4"/>
      <c r="H1523" s="1274"/>
      <c r="I1523" s="1274"/>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383" zoomScaleNormal="100" zoomScaleSheetLayoutView="80" workbookViewId="0">
      <selection activeCell="I421" sqref="I421"/>
    </sheetView>
  </sheetViews>
  <sheetFormatPr defaultColWidth="0" defaultRowHeight="12.9" customHeight="1" zeroHeight="1"/>
  <cols>
    <col min="1" max="36" width="2.5546875" customWidth="1"/>
    <col min="37" max="37" width="2.88671875" customWidth="1"/>
    <col min="38" max="45" width="2.5546875" customWidth="1"/>
    <col min="46" max="46" width="3.6640625" customWidth="1"/>
    <col min="16384" max="16384" width="3.6640625" hidden="1"/>
  </cols>
  <sheetData>
    <row r="1" spans="1:51" ht="12.9" customHeight="1">
      <c r="J1" s="100"/>
      <c r="AS1" s="1075">
        <v>4</v>
      </c>
    </row>
    <row r="2" spans="1:51" ht="12.9" customHeight="1"/>
    <row r="3" spans="1:51" ht="12.9" customHeight="1"/>
    <row r="4" spans="1:51" ht="12.9" customHeight="1"/>
    <row r="5" spans="1:51" ht="12.9" customHeight="1"/>
    <row r="6" spans="1:51" ht="12.9" customHeight="1"/>
    <row r="7" spans="1:51" ht="12.9" customHeight="1"/>
    <row r="8" spans="1:51" ht="26.25" customHeight="1">
      <c r="A8" s="1719" t="s">
        <v>101</v>
      </c>
      <c r="B8" s="1719"/>
      <c r="C8" s="1719"/>
      <c r="D8" s="1719"/>
      <c r="E8" s="1719"/>
      <c r="F8" s="1719"/>
      <c r="G8" s="1719"/>
      <c r="H8" s="1719"/>
      <c r="I8" s="1719"/>
      <c r="J8" s="1719"/>
      <c r="K8" s="1719"/>
      <c r="L8" s="1719"/>
      <c r="M8" s="1719"/>
      <c r="N8" s="1719"/>
      <c r="O8" s="1719"/>
      <c r="P8" s="1719"/>
      <c r="Q8" s="1719"/>
      <c r="R8" s="1719"/>
      <c r="S8" s="1719"/>
      <c r="T8" s="1719"/>
      <c r="U8" s="1719"/>
      <c r="V8" s="1719"/>
      <c r="W8" s="1719"/>
      <c r="X8" s="1719"/>
      <c r="Y8" s="1719"/>
      <c r="Z8" s="1719"/>
      <c r="AA8" s="1719"/>
      <c r="AB8" s="1719"/>
      <c r="AC8" s="1719"/>
      <c r="AD8" s="1719"/>
      <c r="AE8" s="1719"/>
      <c r="AF8" s="1719"/>
      <c r="AG8" s="1719"/>
      <c r="AH8" s="1719"/>
      <c r="AI8" s="1719"/>
      <c r="AJ8" s="1719"/>
      <c r="AK8" s="1719"/>
      <c r="AL8" s="1719"/>
      <c r="AM8" s="935"/>
      <c r="AN8" s="935"/>
      <c r="AO8" s="935"/>
      <c r="AP8" s="935"/>
      <c r="AQ8" s="935"/>
      <c r="AR8" s="935"/>
      <c r="AS8" s="935"/>
      <c r="AT8" s="935"/>
      <c r="AU8" s="935"/>
      <c r="AV8" s="935"/>
      <c r="AW8" s="935"/>
      <c r="AX8" s="935"/>
      <c r="AY8" s="935"/>
    </row>
    <row r="9" spans="1:51" ht="12.9" customHeight="1">
      <c r="A9" s="1301" t="s">
        <v>2473</v>
      </c>
      <c r="B9" s="1301"/>
      <c r="C9" s="1301"/>
      <c r="D9" s="1301"/>
      <c r="E9" s="1301"/>
      <c r="F9" s="1301"/>
      <c r="G9" s="1301"/>
      <c r="H9" s="1301"/>
      <c r="I9" s="1301"/>
      <c r="J9" s="1301"/>
      <c r="K9" s="1301"/>
      <c r="L9" s="1301"/>
      <c r="M9" s="1301"/>
      <c r="N9" s="1301"/>
      <c r="O9" s="1301"/>
      <c r="P9" s="1301"/>
      <c r="Q9" s="1301"/>
      <c r="R9" s="1301"/>
      <c r="S9" s="1301"/>
      <c r="T9" s="1301"/>
      <c r="U9" s="1301"/>
      <c r="V9" s="1301"/>
      <c r="W9" s="1301"/>
      <c r="X9" s="1301"/>
      <c r="Y9" s="1301"/>
      <c r="Z9" s="1301"/>
      <c r="AA9" s="1301"/>
      <c r="AB9" s="1301"/>
      <c r="AC9" s="1301"/>
      <c r="AD9" s="1301"/>
      <c r="AE9" s="1301"/>
      <c r="AF9" s="1301"/>
      <c r="AG9" s="1301"/>
      <c r="AH9" s="1301"/>
      <c r="AI9" s="1301"/>
      <c r="AJ9" s="1301"/>
      <c r="AK9" s="1301"/>
      <c r="AL9" s="1301"/>
      <c r="AM9" s="13"/>
      <c r="AN9" s="13"/>
      <c r="AO9" s="13"/>
      <c r="AP9" s="13"/>
      <c r="AQ9" s="13"/>
      <c r="AR9" s="13"/>
      <c r="AS9" s="13"/>
      <c r="AT9" s="13"/>
      <c r="AU9" s="13"/>
      <c r="AV9" s="13"/>
      <c r="AW9" s="13"/>
      <c r="AX9" s="13"/>
      <c r="AY9" s="13"/>
    </row>
    <row r="10" spans="1:51" ht="12.9" customHeight="1">
      <c r="A10" s="1301" t="s">
        <v>2606</v>
      </c>
      <c r="B10" s="1301"/>
      <c r="C10" s="1301"/>
      <c r="D10" s="1301"/>
      <c r="E10" s="1301"/>
      <c r="F10" s="1301"/>
      <c r="G10" s="1301"/>
      <c r="H10" s="1301"/>
      <c r="I10" s="1301"/>
      <c r="J10" s="1301"/>
      <c r="K10" s="1301"/>
      <c r="L10" s="1301"/>
      <c r="M10" s="1301"/>
      <c r="N10" s="1301"/>
      <c r="O10" s="1301"/>
      <c r="P10" s="1301"/>
      <c r="Q10" s="1301"/>
      <c r="R10" s="1301"/>
      <c r="S10" s="1301"/>
      <c r="T10" s="1301"/>
      <c r="U10" s="1301"/>
      <c r="V10" s="1301"/>
      <c r="W10" s="1301"/>
      <c r="X10" s="1301"/>
      <c r="Y10" s="1301"/>
      <c r="Z10" s="1301"/>
      <c r="AA10" s="1301"/>
      <c r="AB10" s="1301"/>
      <c r="AC10" s="1301"/>
      <c r="AD10" s="1301"/>
      <c r="AE10" s="1301"/>
      <c r="AF10" s="1301"/>
      <c r="AG10" s="1301"/>
      <c r="AH10" s="1301"/>
      <c r="AI10" s="1301"/>
      <c r="AJ10" s="1301"/>
      <c r="AK10" s="1301"/>
      <c r="AL10" s="1301"/>
      <c r="AM10" s="13"/>
      <c r="AN10" s="13"/>
      <c r="AO10" s="13"/>
      <c r="AP10" s="13"/>
      <c r="AQ10" s="13"/>
      <c r="AR10" s="13"/>
      <c r="AS10" s="13"/>
      <c r="AT10" s="13"/>
      <c r="AU10" s="13"/>
      <c r="AV10" s="13"/>
      <c r="AW10" s="13"/>
      <c r="AX10" s="13"/>
      <c r="AY10" s="13"/>
    </row>
    <row r="11" spans="1:51" ht="12.9" customHeight="1">
      <c r="A11" s="1301" t="s">
        <v>1837</v>
      </c>
      <c r="B11" s="1301"/>
      <c r="C11" s="1301"/>
      <c r="D11" s="1301"/>
      <c r="E11" s="1301"/>
      <c r="F11" s="1301"/>
      <c r="G11" s="1301"/>
      <c r="H11" s="1301"/>
      <c r="I11" s="1301"/>
      <c r="J11" s="1301"/>
      <c r="K11" s="1301"/>
      <c r="L11" s="1301"/>
      <c r="M11" s="1301"/>
      <c r="N11" s="1301"/>
      <c r="O11" s="1301"/>
      <c r="P11" s="1301"/>
      <c r="Q11" s="1301"/>
      <c r="R11" s="1301"/>
      <c r="S11" s="1301"/>
      <c r="T11" s="1301"/>
      <c r="U11" s="1301"/>
      <c r="V11" s="1301"/>
      <c r="W11" s="1301"/>
      <c r="X11" s="1301"/>
      <c r="Y11" s="1301"/>
      <c r="Z11" s="1301"/>
      <c r="AA11" s="1301"/>
      <c r="AB11" s="1301"/>
      <c r="AC11" s="1301"/>
      <c r="AD11" s="1301"/>
      <c r="AE11" s="1301"/>
      <c r="AF11" s="1301"/>
      <c r="AG11" s="1301"/>
      <c r="AH11" s="1301"/>
      <c r="AI11" s="1301"/>
      <c r="AJ11" s="1301"/>
      <c r="AK11" s="1301"/>
      <c r="AL11" s="1301"/>
      <c r="AM11" s="13"/>
      <c r="AN11" s="13"/>
      <c r="AO11" s="13"/>
      <c r="AP11" s="13"/>
      <c r="AQ11" s="13"/>
      <c r="AR11" s="13"/>
      <c r="AS11" s="13"/>
      <c r="AT11" s="13"/>
      <c r="AU11" s="13"/>
      <c r="AV11" s="13"/>
      <c r="AW11" s="13"/>
      <c r="AX11" s="13"/>
      <c r="AY11" s="13"/>
    </row>
    <row r="12" spans="1:51" ht="12.9" customHeight="1">
      <c r="A12" s="1548" t="s">
        <v>2622</v>
      </c>
      <c r="B12" s="1549"/>
      <c r="C12" s="1549"/>
      <c r="D12" s="1549"/>
      <c r="E12" s="1549"/>
      <c r="F12" s="1549"/>
      <c r="G12" s="1549"/>
      <c r="H12" s="1549"/>
      <c r="I12" s="1549"/>
      <c r="J12" s="1549"/>
      <c r="K12" s="1549"/>
      <c r="L12" s="1549"/>
      <c r="M12" s="1549"/>
      <c r="N12" s="1549"/>
      <c r="O12" s="1549"/>
      <c r="P12" s="1549"/>
      <c r="Q12" s="1549"/>
      <c r="R12" s="1549"/>
      <c r="S12" s="1549"/>
      <c r="T12" s="1549"/>
      <c r="U12" s="1549"/>
      <c r="V12" s="1549"/>
      <c r="W12" s="1549"/>
      <c r="X12" s="1549"/>
      <c r="Y12" s="1549"/>
      <c r="Z12" s="1549"/>
      <c r="AA12" s="1549"/>
      <c r="AB12" s="1549"/>
      <c r="AC12" s="1549"/>
      <c r="AD12" s="1549"/>
      <c r="AE12" s="1549"/>
      <c r="AF12" s="1549"/>
      <c r="AG12" s="1549"/>
      <c r="AH12" s="1549"/>
      <c r="AI12" s="1549"/>
      <c r="AJ12" s="1549"/>
      <c r="AK12" s="1549"/>
      <c r="AL12" s="1549"/>
      <c r="AM12" s="6"/>
      <c r="AN12" s="6"/>
      <c r="AO12" s="6"/>
      <c r="AP12" s="6"/>
      <c r="AQ12" s="6"/>
      <c r="AR12" s="6"/>
      <c r="AS12" s="6"/>
      <c r="AT12" s="6"/>
      <c r="AU12" s="6"/>
      <c r="AV12" s="6"/>
      <c r="AW12" s="6"/>
      <c r="AX12" s="6"/>
      <c r="AY12" s="6"/>
    </row>
    <row r="13" spans="1:51" ht="12.9" customHeight="1">
      <c r="A13" s="1271" t="s">
        <v>2474</v>
      </c>
      <c r="B13" s="1271"/>
      <c r="C13" s="1271"/>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1271"/>
      <c r="AM13" s="936"/>
      <c r="AN13" s="936"/>
      <c r="AO13" s="936"/>
      <c r="AP13" s="936"/>
      <c r="AQ13" s="936"/>
      <c r="AR13" s="936"/>
      <c r="AS13" s="936"/>
      <c r="AT13" s="936"/>
      <c r="AU13" s="936"/>
      <c r="AV13" s="936"/>
      <c r="AW13" s="936"/>
      <c r="AX13" s="936"/>
      <c r="AY13" s="936"/>
    </row>
    <row r="14" spans="1:51" ht="12.9" customHeight="1" thickBot="1">
      <c r="A14" s="1272"/>
      <c r="B14" s="1272"/>
      <c r="C14" s="1272"/>
      <c r="D14" s="1272"/>
      <c r="E14" s="1272"/>
      <c r="F14" s="1272"/>
      <c r="G14" s="1272"/>
      <c r="H14" s="1272"/>
      <c r="I14" s="1272"/>
      <c r="J14" s="1272"/>
      <c r="K14" s="1272"/>
      <c r="L14" s="1272"/>
      <c r="M14" s="1272"/>
      <c r="N14" s="1272"/>
      <c r="O14" s="1272"/>
      <c r="P14" s="1272"/>
      <c r="Q14" s="1272"/>
      <c r="R14" s="1272"/>
      <c r="S14" s="1272"/>
      <c r="T14" s="1272"/>
      <c r="U14" s="1272"/>
      <c r="V14" s="1272"/>
      <c r="W14" s="1272"/>
      <c r="X14" s="1272"/>
      <c r="Y14" s="1272"/>
      <c r="Z14" s="1272"/>
      <c r="AA14" s="1272"/>
      <c r="AB14" s="1272"/>
      <c r="AC14" s="1272"/>
      <c r="AD14" s="1272"/>
      <c r="AE14" s="1272"/>
      <c r="AF14" s="1272"/>
      <c r="AG14" s="1272"/>
      <c r="AH14" s="1272"/>
      <c r="AI14" s="1272"/>
      <c r="AJ14" s="1272"/>
      <c r="AK14" s="1272"/>
      <c r="AL14" s="1272"/>
      <c r="AM14" s="936"/>
      <c r="AN14" s="936"/>
      <c r="AO14" s="936"/>
      <c r="AP14" s="936"/>
      <c r="AQ14" s="936"/>
      <c r="AR14" s="936"/>
      <c r="AS14" s="936"/>
      <c r="AT14" s="936"/>
      <c r="AU14" s="936"/>
      <c r="AV14" s="936"/>
      <c r="AW14" s="936"/>
      <c r="AX14" s="936"/>
      <c r="AY14" s="936"/>
    </row>
    <row r="15" spans="1:51" ht="12.9"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 customHeight="1">
      <c r="A16" s="57" t="s">
        <v>2475</v>
      </c>
      <c r="C16" s="4"/>
      <c r="D16" s="4"/>
      <c r="E16" s="4"/>
      <c r="F16" s="4"/>
      <c r="G16" s="4"/>
      <c r="H16" s="1538" t="s">
        <v>2633</v>
      </c>
      <c r="I16" s="1535"/>
      <c r="J16" s="1535"/>
      <c r="K16" s="1535"/>
      <c r="L16" s="1535"/>
      <c r="M16" s="1535"/>
      <c r="N16" s="1535"/>
      <c r="O16" s="1535"/>
      <c r="P16" s="1535"/>
      <c r="Q16" s="1535"/>
      <c r="R16" s="1535"/>
      <c r="S16" s="1535"/>
      <c r="T16" s="1535"/>
      <c r="U16" s="1535"/>
      <c r="V16" s="1535"/>
      <c r="W16" s="1535"/>
      <c r="X16" s="1535"/>
      <c r="Y16" s="1535"/>
      <c r="Z16" s="1535"/>
      <c r="AA16" s="1535"/>
      <c r="AB16" s="1535"/>
      <c r="AC16" s="1535"/>
      <c r="AD16" s="1535"/>
      <c r="AE16" s="1535"/>
      <c r="AF16" s="1535"/>
      <c r="AG16" s="1535"/>
      <c r="AH16" s="1535"/>
      <c r="AI16" s="1535"/>
      <c r="AJ16" s="1535"/>
    </row>
    <row r="17" spans="1:52" ht="12.9" customHeight="1"/>
    <row r="18" spans="1:52" ht="12.9" customHeight="1">
      <c r="A18" s="57" t="s">
        <v>102</v>
      </c>
      <c r="C18" s="4"/>
      <c r="D18" s="4"/>
      <c r="E18" s="4"/>
      <c r="F18" s="4"/>
      <c r="G18" s="4"/>
      <c r="H18" s="1510" t="s">
        <v>2690</v>
      </c>
      <c r="I18" s="1532"/>
      <c r="J18" s="1532"/>
      <c r="K18" s="1532"/>
      <c r="L18" s="1532"/>
      <c r="M18" s="1532"/>
      <c r="N18" s="1532"/>
      <c r="O18" s="1532"/>
      <c r="P18" s="1532"/>
      <c r="Q18" s="1532"/>
      <c r="R18" s="1532"/>
      <c r="S18" s="1532"/>
      <c r="T18" s="1532"/>
      <c r="U18" s="1532"/>
      <c r="V18" s="1532"/>
      <c r="W18" s="1532"/>
      <c r="X18" s="1532"/>
      <c r="Y18" s="1532"/>
      <c r="Z18" s="1532"/>
      <c r="AA18" s="1532"/>
      <c r="AB18" s="1532"/>
      <c r="AC18" s="1532"/>
      <c r="AD18" s="1532"/>
      <c r="AE18" s="1532"/>
      <c r="AF18" s="1532"/>
      <c r="AG18" s="1532"/>
      <c r="AH18" s="1532"/>
      <c r="AI18" s="1532"/>
      <c r="AJ18" s="1532"/>
    </row>
    <row r="19" spans="1:52" ht="12.9" customHeight="1"/>
    <row r="20" spans="1:52" ht="12.9" customHeight="1">
      <c r="A20" s="1544" t="s">
        <v>901</v>
      </c>
      <c r="B20" s="1544"/>
      <c r="C20" s="1544"/>
      <c r="D20" s="1544"/>
      <c r="E20" s="1544"/>
      <c r="F20" s="1544"/>
      <c r="G20" s="1544"/>
      <c r="H20" s="1544"/>
      <c r="I20" s="1544"/>
      <c r="J20" s="1544"/>
      <c r="K20" s="1544"/>
      <c r="L20" s="1544"/>
      <c r="M20" s="1544"/>
      <c r="N20" s="1544"/>
      <c r="O20" s="1544"/>
      <c r="P20" s="1544"/>
      <c r="Q20" s="1544"/>
      <c r="R20" s="1544"/>
      <c r="S20" s="1544"/>
      <c r="T20" s="1544"/>
      <c r="U20" s="1544"/>
      <c r="V20" s="1544"/>
      <c r="W20" s="1544"/>
      <c r="X20" s="1544"/>
      <c r="Y20" s="1544"/>
      <c r="Z20" s="1544"/>
      <c r="AA20" s="1544"/>
      <c r="AB20" s="1544"/>
      <c r="AC20" s="1544"/>
      <c r="AD20" s="1544"/>
      <c r="AE20" s="1544"/>
      <c r="AF20" s="1544"/>
      <c r="AG20" s="1544"/>
      <c r="AH20" s="1544"/>
      <c r="AI20" s="1544"/>
      <c r="AJ20" s="1544"/>
      <c r="AK20" s="1544"/>
      <c r="AL20" s="1544"/>
      <c r="AM20" s="937"/>
      <c r="AN20" s="937"/>
      <c r="AO20" s="937"/>
      <c r="AP20" s="937"/>
      <c r="AQ20" s="937"/>
      <c r="AR20" s="937"/>
      <c r="AS20" s="937"/>
      <c r="AT20" s="937"/>
      <c r="AU20" s="937"/>
      <c r="AV20" s="937"/>
      <c r="AW20" s="937"/>
      <c r="AX20" s="937"/>
      <c r="AY20" s="937"/>
    </row>
    <row r="21" spans="1:52" ht="12.9" customHeight="1">
      <c r="A21" s="1551" t="s">
        <v>1065</v>
      </c>
      <c r="B21" s="1551"/>
      <c r="C21" s="1551"/>
      <c r="D21" s="1551"/>
      <c r="E21" s="1551"/>
      <c r="F21" s="1551"/>
      <c r="G21" s="1551"/>
      <c r="H21" s="1551"/>
      <c r="I21" s="1551"/>
      <c r="J21" s="1551"/>
      <c r="K21" s="1551"/>
      <c r="L21" s="1551"/>
      <c r="M21" s="1551"/>
      <c r="N21" s="1551"/>
      <c r="O21" s="1551"/>
      <c r="P21" s="1551"/>
      <c r="Q21" s="1551"/>
      <c r="R21" s="1551"/>
      <c r="S21" s="1551"/>
      <c r="T21" s="1551"/>
      <c r="U21" s="1551"/>
      <c r="V21" s="1551"/>
      <c r="W21" s="1551"/>
      <c r="X21" s="1551"/>
      <c r="Y21" s="1551"/>
      <c r="Z21" s="1551"/>
      <c r="AA21" s="1551"/>
      <c r="AB21" s="1551"/>
      <c r="AC21" s="1551"/>
      <c r="AD21" s="1551"/>
      <c r="AE21" s="1551"/>
      <c r="AF21" s="1551"/>
      <c r="AG21" s="1551"/>
      <c r="AH21" s="1551"/>
      <c r="AI21" s="1551"/>
      <c r="AJ21" s="1551"/>
      <c r="AK21" s="1551"/>
      <c r="AL21" s="1551"/>
      <c r="AM21" s="938"/>
      <c r="AN21" s="938"/>
      <c r="AO21" s="938"/>
      <c r="AP21" s="938"/>
      <c r="AQ21" s="938"/>
      <c r="AR21" s="938"/>
      <c r="AS21" s="938"/>
      <c r="AT21" s="938"/>
      <c r="AU21" s="938"/>
      <c r="AV21" s="938"/>
      <c r="AW21" s="938"/>
      <c r="AX21" s="938"/>
      <c r="AY21" s="938"/>
    </row>
    <row r="22" spans="1:52"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 customHeight="1">
      <c r="A23" s="119" t="s">
        <v>2476</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 customHeight="1">
      <c r="A24" s="116" t="s">
        <v>1026</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 customHeight="1">
      <c r="A26" s="4"/>
      <c r="C26" s="4"/>
      <c r="D26" s="4"/>
      <c r="E26" s="4"/>
      <c r="F26" s="4"/>
      <c r="G26" s="4"/>
      <c r="H26" s="4"/>
      <c r="I26" s="4"/>
      <c r="J26" s="4"/>
      <c r="K26" s="4"/>
      <c r="L26" s="4"/>
      <c r="M26" s="1550">
        <f>'Basis &amp; Credits'!AB56</f>
        <v>4259225</v>
      </c>
      <c r="N26" s="1550"/>
      <c r="O26" s="1550"/>
      <c r="P26" s="1550"/>
      <c r="Q26" s="1550"/>
      <c r="R26" s="4" t="s">
        <v>784</v>
      </c>
      <c r="S26" s="4"/>
      <c r="T26" s="4"/>
      <c r="U26" s="4"/>
      <c r="V26" s="4"/>
      <c r="W26" s="4"/>
      <c r="X26" s="4"/>
      <c r="Y26" s="4"/>
      <c r="Z26" s="4"/>
      <c r="AF26" s="4"/>
      <c r="AG26" s="4"/>
      <c r="AH26" s="4"/>
      <c r="AI26" s="4"/>
      <c r="AJ26" s="4"/>
      <c r="AK26" s="4"/>
    </row>
    <row r="27" spans="1:52" ht="12.9" customHeight="1">
      <c r="A27" s="4"/>
      <c r="C27" s="4"/>
      <c r="D27" s="4"/>
      <c r="E27" s="4"/>
      <c r="F27" s="4"/>
      <c r="G27" s="4"/>
      <c r="H27" s="4"/>
      <c r="I27" s="4"/>
      <c r="J27" s="4"/>
      <c r="K27" s="4"/>
      <c r="L27" s="4"/>
      <c r="M27" s="1491">
        <f>'Basis &amp; Credits'!AB77</f>
        <v>0</v>
      </c>
      <c r="N27" s="1491"/>
      <c r="O27" s="1491"/>
      <c r="P27" s="1491"/>
      <c r="Q27" s="1491"/>
      <c r="R27" s="3" t="s">
        <v>1424</v>
      </c>
      <c r="S27" s="4"/>
      <c r="T27" s="4"/>
      <c r="U27" s="4"/>
      <c r="V27" s="4"/>
      <c r="W27" s="4"/>
      <c r="X27" s="4"/>
      <c r="Y27" s="4"/>
      <c r="Z27" s="4"/>
      <c r="AF27" s="4"/>
      <c r="AG27" s="4"/>
      <c r="AH27" s="4"/>
      <c r="AI27" s="4"/>
      <c r="AJ27" s="4"/>
      <c r="AK27" s="4"/>
    </row>
    <row r="28" spans="1:52"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 customHeight="1">
      <c r="A31" s="91" t="s">
        <v>2477</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 customHeight="1">
      <c r="A33" s="554" t="s">
        <v>1435</v>
      </c>
      <c r="C33" s="554"/>
      <c r="D33" s="554"/>
      <c r="E33" s="554"/>
      <c r="F33" s="554"/>
      <c r="G33" s="554"/>
      <c r="H33" s="554"/>
      <c r="I33" s="554"/>
      <c r="J33" s="554"/>
      <c r="K33" s="554"/>
      <c r="L33" s="554"/>
      <c r="M33" s="554"/>
      <c r="N33" s="554"/>
      <c r="O33" s="1374" t="s">
        <v>679</v>
      </c>
      <c r="P33" s="1374"/>
      <c r="Q33" s="554" t="s">
        <v>1436</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 customHeight="1">
      <c r="A34" s="3" t="s">
        <v>1438</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 customHeight="1">
      <c r="A35" s="3" t="s">
        <v>1437</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 customHeight="1">
      <c r="A36" s="3" t="s">
        <v>1439</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 customHeight="1">
      <c r="A37" s="3" t="s">
        <v>1440</v>
      </c>
      <c r="AZ37" s="20"/>
    </row>
    <row r="38" spans="1:52" ht="12.9" customHeight="1">
      <c r="A38" s="3" t="s">
        <v>1441</v>
      </c>
      <c r="AZ38" s="20"/>
    </row>
    <row r="39" spans="1:52" ht="12.9" customHeight="1">
      <c r="AZ39" s="20"/>
    </row>
    <row r="40" spans="1:52" ht="12.9" customHeight="1">
      <c r="A40" s="554" t="s">
        <v>2478</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 customHeight="1">
      <c r="A41" s="554" t="s">
        <v>2479</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 customHeight="1">
      <c r="A42" s="554" t="s">
        <v>1464</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 customHeight="1">
      <c r="A43" s="554" t="s">
        <v>2480</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 customHeight="1">
      <c r="A44" s="554" t="s">
        <v>1465</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 customHeight="1">
      <c r="A45" s="554" t="s">
        <v>2481</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 customHeight="1">
      <c r="A46" s="554" t="s">
        <v>1466</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 customHeight="1">
      <c r="A48" s="562" t="s">
        <v>1467</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 customHeight="1">
      <c r="A49" s="554" t="s">
        <v>1468</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 customHeight="1">
      <c r="A50" s="554" t="s">
        <v>2482</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 customHeight="1">
      <c r="A51" s="554" t="s">
        <v>1469</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 customHeight="1">
      <c r="A52" s="554" t="s">
        <v>1470</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 customHeight="1">
      <c r="A58" s="91" t="s">
        <v>1029</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 customHeight="1">
      <c r="A59" s="91" t="s">
        <v>1030</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 customHeight="1">
      <c r="A60" s="91" t="s">
        <v>1031</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 customHeight="1">
      <c r="A61" s="91" t="s">
        <v>1032</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 customHeight="1">
      <c r="A62" s="91" t="s">
        <v>2483</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 customHeight="1">
      <c r="A63" s="91" t="s">
        <v>1033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 customHeight="1">
      <c r="A68" s="35" t="s">
        <v>2484</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 customHeight="1">
      <c r="A71" s="91" t="s">
        <v>2485</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 customHeight="1">
      <c r="A72" s="4" t="s">
        <v>2486</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 customHeight="1">
      <c r="A82" s="91" t="s">
        <v>1069</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 customHeight="1">
      <c r="A83" s="91" t="s">
        <v>2487</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 customHeight="1">
      <c r="A84" s="91" t="s">
        <v>1034</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 customHeight="1">
      <c r="A86" s="91" t="s">
        <v>1028</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 customHeight="1">
      <c r="A87" s="91" t="s">
        <v>1027</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 customHeight="1">
      <c r="A90" s="91" t="s">
        <v>2488</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 customHeight="1">
      <c r="A91" s="91" t="s">
        <v>2489</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 customHeight="1">
      <c r="A93" s="116" t="s">
        <v>1037</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 customHeight="1">
      <c r="A94" s="116" t="s">
        <v>1036</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 customHeight="1">
      <c r="A95" s="91" t="s">
        <v>1035</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 customHeight="1">
      <c r="A100" s="552" t="s">
        <v>2490</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 customHeight="1">
      <c r="A101" t="s">
        <v>2491</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 customHeight="1">
      <c r="A102" t="s">
        <v>1393</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 customHeight="1">
      <c r="A103" s="552" t="s">
        <v>1394</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 customHeight="1">
      <c r="A104" t="s">
        <v>1395</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 customHeight="1">
      <c r="A105" s="552" t="s">
        <v>1396</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 customHeight="1">
      <c r="A106" s="552" t="s">
        <v>1397</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 customHeight="1">
      <c r="A107" s="552" t="s">
        <v>1398</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 customHeight="1">
      <c r="A108" s="552" t="s">
        <v>1399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 customHeight="1">
      <c r="A110" s="311" t="s">
        <v>1077</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 customHeight="1">
      <c r="A111" s="311" t="s">
        <v>2492</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 customHeight="1">
      <c r="A112" s="311" t="s">
        <v>1079</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 customHeight="1">
      <c r="A113" s="311" t="s">
        <v>1078</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 customHeight="1">
      <c r="A116" s="91" t="s">
        <v>2493</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 customHeight="1">
      <c r="A117" s="91" t="s">
        <v>781</v>
      </c>
      <c r="B117" s="22"/>
      <c r="C117" s="22"/>
    </row>
    <row r="118" spans="1:51" ht="12.9" customHeight="1"/>
    <row r="119" spans="1:51" ht="12.9" customHeight="1">
      <c r="A119" s="91" t="s">
        <v>2494</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 customHeight="1">
      <c r="A122" s="3"/>
      <c r="B122" s="3"/>
      <c r="C122" s="3" t="s">
        <v>182</v>
      </c>
      <c r="G122" s="1541"/>
      <c r="H122" s="1541"/>
      <c r="I122" s="3" t="s">
        <v>183</v>
      </c>
      <c r="L122" s="1541" t="s">
        <v>2632</v>
      </c>
      <c r="M122" s="1541"/>
      <c r="N122" s="1541"/>
      <c r="O122" s="1556" t="s">
        <v>2631</v>
      </c>
      <c r="P122" s="1556"/>
      <c r="Q122" s="1556"/>
      <c r="R122" s="1556"/>
      <c r="S122" s="3"/>
      <c r="T122" s="3"/>
      <c r="U122" s="3"/>
      <c r="V122" s="3"/>
      <c r="W122" s="3"/>
      <c r="AL122" s="3"/>
      <c r="AM122" s="3"/>
      <c r="AN122" s="3"/>
      <c r="AO122" s="3"/>
      <c r="AP122" s="3"/>
      <c r="AQ122" s="3"/>
      <c r="AR122" s="3"/>
      <c r="AS122" s="3"/>
      <c r="AT122" s="3"/>
      <c r="AU122" s="3"/>
      <c r="AV122" s="3"/>
      <c r="AW122" s="3"/>
      <c r="AX122" s="3"/>
      <c r="AY122" s="3"/>
    </row>
    <row r="123" spans="1:51" ht="12.9"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 customHeight="1">
      <c r="A124" s="3"/>
      <c r="B124" s="3"/>
      <c r="C124" s="1463" t="s">
        <v>2661</v>
      </c>
      <c r="D124" s="1463"/>
      <c r="E124" s="1463"/>
      <c r="F124" s="1463"/>
      <c r="G124" s="1463"/>
      <c r="H124" s="1463"/>
      <c r="I124" s="1463"/>
      <c r="J124" s="1463"/>
      <c r="K124" s="1463"/>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 customHeight="1">
      <c r="X126" s="3" t="s">
        <v>638</v>
      </c>
      <c r="Y126" s="1541"/>
      <c r="Z126" s="1541"/>
      <c r="AA126" s="1541"/>
      <c r="AB126" s="1541"/>
      <c r="AC126" s="1541"/>
      <c r="AD126" s="1541"/>
      <c r="AE126" s="1541"/>
      <c r="AF126" s="1541"/>
      <c r="AG126" s="1541"/>
      <c r="AH126" s="1541"/>
      <c r="AI126" s="1541"/>
      <c r="AJ126" s="1541"/>
      <c r="AK126" s="1541"/>
    </row>
    <row r="127" spans="1:51" ht="12.9"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 customHeight="1">
      <c r="A128" s="386"/>
      <c r="X128" s="3"/>
      <c r="AL128" s="386"/>
      <c r="AM128" s="386"/>
      <c r="AN128" s="386"/>
      <c r="AO128" s="386"/>
      <c r="AP128" s="386"/>
      <c r="AQ128" s="386"/>
      <c r="AR128" s="386"/>
      <c r="AS128" s="386"/>
      <c r="AT128" s="386"/>
      <c r="AU128" s="386"/>
      <c r="AV128" s="386"/>
      <c r="AW128" s="386"/>
      <c r="AX128" s="386"/>
      <c r="AY128" s="386"/>
    </row>
    <row r="129" spans="1:51" ht="12.9" customHeight="1">
      <c r="A129" s="386"/>
      <c r="B129" s="4"/>
      <c r="R129" s="6"/>
      <c r="S129" s="6"/>
      <c r="T129" s="6"/>
      <c r="U129" s="6"/>
      <c r="V129" s="6"/>
      <c r="W129" s="6"/>
      <c r="X129" s="3"/>
      <c r="Y129" s="1541" t="s">
        <v>2671</v>
      </c>
      <c r="Z129" s="1541"/>
      <c r="AA129" s="1541"/>
      <c r="AB129" s="1541"/>
      <c r="AC129" s="1541"/>
      <c r="AD129" s="1541"/>
      <c r="AE129" s="1541"/>
      <c r="AF129" s="1541"/>
      <c r="AG129" s="1541"/>
      <c r="AH129" s="1541"/>
      <c r="AI129" s="1541"/>
      <c r="AJ129" s="1541"/>
      <c r="AK129" s="1541"/>
      <c r="AL129" s="386"/>
      <c r="AM129" s="386"/>
      <c r="AN129" s="386"/>
      <c r="AO129" s="386"/>
      <c r="AP129" s="386"/>
      <c r="AQ129" s="386"/>
      <c r="AR129" s="386"/>
      <c r="AS129" s="386"/>
      <c r="AT129" s="386"/>
      <c r="AU129" s="386"/>
      <c r="AV129" s="386"/>
      <c r="AW129" s="386"/>
      <c r="AX129" s="386"/>
      <c r="AY129" s="386"/>
    </row>
    <row r="130" spans="1:51" ht="12.9"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16"/>
      <c r="G132" s="216"/>
      <c r="H132" s="216"/>
      <c r="I132" s="216"/>
      <c r="J132" s="216"/>
      <c r="K132" s="216"/>
      <c r="L132" s="216"/>
      <c r="M132" s="216"/>
      <c r="N132" s="3"/>
      <c r="P132" s="3"/>
      <c r="Q132" s="3"/>
      <c r="U132" s="3"/>
      <c r="V132" s="3"/>
      <c r="W132" s="3"/>
      <c r="X132" s="3"/>
      <c r="Y132" s="1541" t="s">
        <v>2672</v>
      </c>
      <c r="Z132" s="1541"/>
      <c r="AA132" s="1541"/>
      <c r="AB132" s="1541"/>
      <c r="AC132" s="1541"/>
      <c r="AD132" s="1541"/>
      <c r="AE132" s="1541"/>
      <c r="AF132" s="1541"/>
      <c r="AG132" s="1541"/>
      <c r="AH132" s="1541"/>
      <c r="AI132" s="1541"/>
      <c r="AJ132" s="1541"/>
      <c r="AK132" s="1541"/>
      <c r="AL132" s="3"/>
      <c r="AM132" s="3"/>
      <c r="AN132" s="3"/>
      <c r="AO132" s="3"/>
      <c r="AP132" s="3"/>
      <c r="AQ132" s="3"/>
      <c r="AR132" s="3"/>
      <c r="AS132" s="3"/>
      <c r="AT132" s="3"/>
      <c r="AU132" s="3"/>
      <c r="AV132" s="3"/>
      <c r="AW132" s="3"/>
      <c r="AX132" s="3"/>
      <c r="AY132" s="3"/>
    </row>
    <row r="133" spans="1:51" ht="12.9"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 customHeight="1">
      <c r="A150" s="3"/>
      <c r="B150" s="3"/>
      <c r="D150" s="3"/>
      <c r="E150" s="3"/>
      <c r="F150" s="1300"/>
      <c r="G150" s="1300"/>
      <c r="H150" s="1300"/>
      <c r="I150" s="1300"/>
      <c r="J150" s="1300"/>
      <c r="K150" s="1300"/>
      <c r="L150" s="1300"/>
      <c r="M150" s="1300"/>
      <c r="N150" s="1300"/>
      <c r="O150" s="1300"/>
      <c r="P150" s="1300"/>
      <c r="Q150" s="1300"/>
      <c r="R150" s="1300"/>
      <c r="S150" s="1300"/>
      <c r="T150" s="130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 customHeight="1"/>
    <row r="153" spans="1:72" ht="12.9" customHeight="1">
      <c r="D153" t="s">
        <v>655</v>
      </c>
      <c r="O153" s="1510" t="s">
        <v>2625</v>
      </c>
      <c r="P153" s="1532"/>
      <c r="Q153" s="1532"/>
      <c r="R153" s="1532"/>
      <c r="S153" s="1532"/>
      <c r="T153" s="1532"/>
      <c r="U153" s="1532"/>
      <c r="V153" s="1532"/>
      <c r="W153" s="1532"/>
      <c r="X153" s="1532"/>
      <c r="Y153" s="1532"/>
      <c r="Z153" s="1532"/>
      <c r="AA153" s="1532"/>
      <c r="AB153" s="1532"/>
      <c r="AC153" s="1532"/>
      <c r="AD153" s="1532"/>
      <c r="AE153" s="1532"/>
      <c r="AF153" s="1532"/>
      <c r="AG153" s="1532"/>
      <c r="AH153" s="1532"/>
    </row>
    <row r="154" spans="1:72" ht="12.9" customHeight="1">
      <c r="D154" s="325" t="s">
        <v>443</v>
      </c>
      <c r="O154" s="1512" t="s">
        <v>2626</v>
      </c>
      <c r="P154" s="1462"/>
      <c r="Q154" s="1462"/>
      <c r="R154" s="1462"/>
      <c r="S154" s="1462"/>
      <c r="T154" s="1462"/>
      <c r="U154" s="1462"/>
      <c r="V154" s="1462"/>
      <c r="W154" s="1462"/>
      <c r="X154" s="1462"/>
      <c r="Y154" s="1462"/>
      <c r="Z154" s="1462"/>
      <c r="AA154" s="1462"/>
      <c r="AB154" s="1462"/>
      <c r="AC154" s="1462"/>
      <c r="AD154" s="1462"/>
      <c r="AE154" s="1462"/>
      <c r="AF154" s="1462"/>
      <c r="AG154" s="1462"/>
      <c r="AH154" s="1462"/>
    </row>
    <row r="155" spans="1:72" ht="12.9" customHeight="1">
      <c r="D155" s="8" t="s">
        <v>445</v>
      </c>
      <c r="F155" s="8"/>
      <c r="G155" s="8"/>
      <c r="H155" s="8"/>
      <c r="I155" s="8"/>
      <c r="J155" s="8"/>
      <c r="K155" s="8"/>
      <c r="L155" s="8"/>
      <c r="M155" s="8"/>
      <c r="N155" s="8"/>
      <c r="O155" s="1553" t="s">
        <v>444</v>
      </c>
      <c r="P155" s="1553"/>
      <c r="Q155" s="1553"/>
      <c r="R155" s="1553"/>
      <c r="S155" s="1553"/>
      <c r="T155" s="1553"/>
      <c r="U155" s="1553"/>
      <c r="V155" s="1553"/>
      <c r="W155" s="1553"/>
      <c r="X155" s="1553"/>
      <c r="Y155" s="1553"/>
      <c r="Z155" s="1553"/>
      <c r="AA155" s="1553"/>
      <c r="AB155" s="1553"/>
      <c r="AC155" s="1553"/>
      <c r="AD155" s="1553"/>
      <c r="AE155" s="1553"/>
      <c r="AF155" s="1553"/>
      <c r="AG155" s="1553"/>
      <c r="AH155" s="1553"/>
    </row>
    <row r="156" spans="1:72" ht="12.9" customHeight="1">
      <c r="D156" t="s">
        <v>315</v>
      </c>
      <c r="O156" s="1395" t="s">
        <v>2627</v>
      </c>
      <c r="P156" s="1395"/>
      <c r="Q156" s="1395"/>
      <c r="R156" s="1395"/>
      <c r="S156" s="1395"/>
      <c r="T156" s="1395"/>
      <c r="U156" s="1395"/>
      <c r="V156" s="1395"/>
      <c r="W156" s="1395"/>
      <c r="X156" s="1395"/>
      <c r="Y156" s="1395"/>
      <c r="Z156" s="1395"/>
      <c r="AA156" s="1395"/>
      <c r="AB156" s="1395"/>
      <c r="AC156" s="1395"/>
      <c r="AD156" s="1395"/>
      <c r="AE156" s="1395"/>
      <c r="AF156" s="1395"/>
      <c r="AG156" s="1395"/>
      <c r="AH156" s="1395"/>
      <c r="BT156" t="s">
        <v>309</v>
      </c>
    </row>
    <row r="157" spans="1:72" ht="12.9" customHeight="1">
      <c r="D157" t="s">
        <v>316</v>
      </c>
      <c r="O157" s="1510" t="s">
        <v>2624</v>
      </c>
      <c r="P157" s="1532"/>
      <c r="Q157" s="1532"/>
      <c r="R157" s="1532"/>
      <c r="S157" s="1532"/>
      <c r="T157" s="1532"/>
      <c r="U157" s="1532"/>
      <c r="V157" s="1532"/>
      <c r="W157" s="1532"/>
      <c r="X157" s="1532"/>
      <c r="Y157" s="8"/>
      <c r="Z157" s="8"/>
      <c r="AA157" s="8"/>
      <c r="AB157" s="8"/>
      <c r="AC157" s="8"/>
      <c r="AD157" s="8"/>
      <c r="AE157" s="8"/>
      <c r="AF157" s="8"/>
      <c r="BN157" s="23" t="s">
        <v>646</v>
      </c>
      <c r="BT157" t="s">
        <v>486</v>
      </c>
    </row>
    <row r="158" spans="1:72" ht="12.9" customHeight="1">
      <c r="D158" t="s">
        <v>317</v>
      </c>
      <c r="O158" s="1554">
        <v>91910</v>
      </c>
      <c r="P158" s="1554"/>
      <c r="Q158" s="1554"/>
      <c r="R158" s="1554"/>
      <c r="S158" s="9"/>
      <c r="T158" s="9"/>
      <c r="U158" s="9"/>
      <c r="V158" s="9"/>
      <c r="W158" s="9"/>
      <c r="X158" s="9"/>
      <c r="Y158" s="9"/>
      <c r="Z158" s="9"/>
      <c r="AA158" s="9"/>
      <c r="AB158" s="9"/>
      <c r="AC158" s="9"/>
      <c r="AD158" s="9"/>
      <c r="AE158" s="9"/>
      <c r="AF158" s="9"/>
      <c r="BN158" s="23" t="s">
        <v>647</v>
      </c>
      <c r="BT158" t="s">
        <v>487</v>
      </c>
    </row>
    <row r="159" spans="1:72" ht="12.9" customHeight="1">
      <c r="D159" t="s">
        <v>318</v>
      </c>
      <c r="O159" s="1464" t="s">
        <v>2628</v>
      </c>
      <c r="P159" s="1464"/>
      <c r="Q159" s="1464"/>
      <c r="R159" s="1464"/>
      <c r="S159" s="1464"/>
      <c r="T159" s="1464"/>
      <c r="V159" s="97" t="s">
        <v>273</v>
      </c>
      <c r="W159" s="1555"/>
      <c r="X159" s="1555"/>
      <c r="Y159" s="10"/>
      <c r="Z159" s="10"/>
      <c r="AA159" s="10"/>
      <c r="AB159" s="10"/>
      <c r="AC159" s="10"/>
      <c r="AD159" s="10"/>
      <c r="AE159" s="10"/>
      <c r="AF159" s="10"/>
      <c r="BN159" s="23" t="s">
        <v>341</v>
      </c>
      <c r="BT159" t="s">
        <v>488</v>
      </c>
    </row>
    <row r="160" spans="1:72" ht="12.9" customHeight="1">
      <c r="D160" t="s">
        <v>319</v>
      </c>
      <c r="O160" s="1464" t="s">
        <v>2629</v>
      </c>
      <c r="P160" s="1464"/>
      <c r="Q160" s="1464"/>
      <c r="R160" s="1464"/>
      <c r="S160" s="1464"/>
      <c r="T160" s="1464"/>
      <c r="U160" s="10"/>
      <c r="V160" s="10"/>
      <c r="W160" s="10"/>
      <c r="X160" s="10"/>
      <c r="Y160" s="10"/>
      <c r="Z160" s="10"/>
      <c r="AA160" s="10"/>
      <c r="AB160" s="10"/>
      <c r="AC160" s="10"/>
      <c r="AD160" s="10"/>
      <c r="AE160" s="10"/>
      <c r="AF160" s="10"/>
      <c r="BN160" s="23" t="s">
        <v>670</v>
      </c>
      <c r="BT160" t="s">
        <v>489</v>
      </c>
    </row>
    <row r="161" spans="1:72" ht="12.9" customHeight="1">
      <c r="D161" t="s">
        <v>320</v>
      </c>
      <c r="O161" s="1465" t="s">
        <v>2630</v>
      </c>
      <c r="P161" s="1465"/>
      <c r="Q161" s="1465"/>
      <c r="R161" s="1465"/>
      <c r="S161" s="1465"/>
      <c r="T161" s="1465"/>
      <c r="U161" s="1465"/>
      <c r="V161" s="1465"/>
      <c r="W161" s="1465"/>
      <c r="X161" s="1465"/>
      <c r="Y161" s="1465"/>
      <c r="Z161" s="1465"/>
      <c r="AA161" s="1465"/>
      <c r="AB161" s="1465"/>
      <c r="AC161" s="1465"/>
      <c r="AD161" s="1465"/>
      <c r="AE161" s="1465"/>
      <c r="AF161" s="1465"/>
      <c r="AG161" s="1465"/>
      <c r="AH161" s="1465"/>
      <c r="BJ161" t="s">
        <v>679</v>
      </c>
      <c r="BN161" s="23" t="s">
        <v>671</v>
      </c>
      <c r="BT161" t="s">
        <v>490</v>
      </c>
    </row>
    <row r="162" spans="1:72"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 customHeight="1">
      <c r="C163" s="27" t="s">
        <v>83</v>
      </c>
      <c r="D163" s="3" t="s">
        <v>2516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 customHeight="1">
      <c r="C164" s="27"/>
      <c r="D164" s="1466" t="s">
        <v>1386</v>
      </c>
      <c r="E164" s="1466"/>
      <c r="F164" s="1466"/>
      <c r="G164" s="1466"/>
      <c r="H164" s="1466"/>
      <c r="I164" s="1466"/>
      <c r="J164" s="1466"/>
      <c r="K164" s="1466"/>
      <c r="L164" s="1466"/>
      <c r="M164" s="1466"/>
      <c r="N164" s="1466"/>
      <c r="O164" s="1466"/>
      <c r="P164" s="1466"/>
      <c r="Q164" s="1466"/>
      <c r="R164" s="1466"/>
      <c r="S164" s="1466"/>
      <c r="T164" s="1466"/>
      <c r="U164" s="1466"/>
      <c r="V164" s="1466"/>
      <c r="W164" s="1466"/>
      <c r="X164" s="1466"/>
      <c r="Y164" s="1466"/>
      <c r="Z164" s="1466"/>
      <c r="AA164" s="1466"/>
      <c r="AB164" s="1466"/>
      <c r="AC164" s="1466"/>
      <c r="AD164" s="1466"/>
      <c r="AE164" s="1466"/>
      <c r="AF164" s="1466"/>
      <c r="AG164" s="1466"/>
      <c r="AH164" s="1466"/>
      <c r="BN164" s="23" t="s">
        <v>674</v>
      </c>
      <c r="BT164" t="s">
        <v>493</v>
      </c>
    </row>
    <row r="165" spans="1:72"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 customHeight="1">
      <c r="A169" s="1440" t="s">
        <v>549</v>
      </c>
      <c r="B169" s="1440"/>
      <c r="C169" s="1440"/>
      <c r="D169" s="1440"/>
      <c r="E169" s="1440"/>
      <c r="F169" s="1440"/>
      <c r="G169" s="1440"/>
      <c r="H169" s="1440"/>
      <c r="I169" s="1440"/>
      <c r="J169" s="1440"/>
      <c r="K169" s="1440"/>
      <c r="L169" s="1440"/>
      <c r="M169" s="1440"/>
      <c r="N169" s="1440"/>
      <c r="O169" s="1440"/>
      <c r="P169" s="1440"/>
      <c r="Q169" s="1440"/>
      <c r="R169" s="1440"/>
      <c r="S169" s="1440"/>
      <c r="T169" s="1440"/>
      <c r="U169" s="1440"/>
      <c r="V169" s="1440"/>
      <c r="W169" s="1440"/>
      <c r="X169" s="1440"/>
      <c r="Y169" s="1440"/>
      <c r="Z169" s="1440"/>
      <c r="AA169" s="1440"/>
      <c r="AB169" s="1440"/>
      <c r="AC169" s="1440"/>
      <c r="AD169" s="1440"/>
      <c r="AE169" s="1440"/>
      <c r="AF169" s="1440"/>
      <c r="AG169" s="1440"/>
      <c r="AH169" s="1440"/>
      <c r="AI169" s="1440"/>
      <c r="AJ169" s="1440"/>
      <c r="AK169" s="1440"/>
      <c r="AL169" s="1440"/>
      <c r="AM169" s="95"/>
      <c r="AN169" s="95"/>
      <c r="AO169" s="95"/>
      <c r="AP169" s="95"/>
      <c r="AQ169" s="95"/>
      <c r="AR169" s="95"/>
      <c r="AS169" s="95"/>
      <c r="AT169" s="95"/>
      <c r="AU169" s="95"/>
      <c r="AV169" s="95"/>
      <c r="AW169" s="95"/>
      <c r="AX169" s="95"/>
      <c r="AY169" s="95"/>
      <c r="BN169" s="23" t="s">
        <v>683</v>
      </c>
      <c r="BT169" t="s">
        <v>498</v>
      </c>
    </row>
    <row r="170" spans="1:72" ht="12.9" customHeight="1" thickBot="1">
      <c r="A170" s="1441"/>
      <c r="B170" s="1441"/>
      <c r="C170" s="1441"/>
      <c r="D170" s="1441"/>
      <c r="E170" s="1441"/>
      <c r="F170" s="1441"/>
      <c r="G170" s="1441"/>
      <c r="H170" s="1441"/>
      <c r="I170" s="1441"/>
      <c r="J170" s="1441"/>
      <c r="K170" s="1441"/>
      <c r="L170" s="1441"/>
      <c r="M170" s="1441"/>
      <c r="N170" s="1441"/>
      <c r="O170" s="1441"/>
      <c r="P170" s="1441"/>
      <c r="Q170" s="1441"/>
      <c r="R170" s="1441"/>
      <c r="S170" s="1441"/>
      <c r="T170" s="1441"/>
      <c r="U170" s="1441"/>
      <c r="V170" s="1441"/>
      <c r="W170" s="1441"/>
      <c r="X170" s="1441"/>
      <c r="Y170" s="1441"/>
      <c r="Z170" s="1441"/>
      <c r="AA170" s="1441"/>
      <c r="AB170" s="1441"/>
      <c r="AC170" s="1441"/>
      <c r="AD170" s="1441"/>
      <c r="AE170" s="1441"/>
      <c r="AF170" s="1441"/>
      <c r="AG170" s="1441"/>
      <c r="AH170" s="1441"/>
      <c r="AI170" s="1441"/>
      <c r="AJ170" s="1441"/>
      <c r="AK170" s="1441"/>
      <c r="AL170" s="1441"/>
      <c r="AM170" s="95"/>
      <c r="AN170" s="95"/>
      <c r="AO170" s="95"/>
      <c r="AP170" s="95"/>
      <c r="AQ170" s="95"/>
      <c r="AR170" s="95"/>
      <c r="AS170" s="95"/>
      <c r="AT170" s="95"/>
      <c r="AU170" s="95"/>
      <c r="AV170" s="95"/>
      <c r="AW170" s="95"/>
      <c r="AX170" s="95"/>
      <c r="AY170" s="95"/>
      <c r="BN170" s="23" t="s">
        <v>684</v>
      </c>
      <c r="BT170" t="s">
        <v>499</v>
      </c>
    </row>
    <row r="171" spans="1:72" ht="12.9" customHeight="1" thickTop="1">
      <c r="BN171" s="23" t="s">
        <v>213</v>
      </c>
      <c r="BT171" t="s">
        <v>500</v>
      </c>
    </row>
    <row r="172" spans="1:72" ht="12.9" customHeight="1">
      <c r="A172" s="2" t="s">
        <v>321</v>
      </c>
      <c r="C172" s="2" t="s">
        <v>322</v>
      </c>
      <c r="BN172" s="23" t="s">
        <v>215</v>
      </c>
      <c r="BT172" t="s">
        <v>501</v>
      </c>
    </row>
    <row r="173" spans="1:72" ht="12.9" customHeight="1">
      <c r="C173" s="24"/>
      <c r="D173" t="s">
        <v>323</v>
      </c>
      <c r="J173" s="1552" t="s">
        <v>373</v>
      </c>
      <c r="K173" s="1552"/>
      <c r="L173" s="1552"/>
      <c r="M173" s="1552"/>
      <c r="N173" s="1552"/>
      <c r="O173" s="1552"/>
      <c r="P173" s="1552"/>
      <c r="Q173" s="1552"/>
      <c r="R173" s="1552"/>
      <c r="S173" s="1552"/>
      <c r="U173" s="25"/>
      <c r="X173" s="25"/>
      <c r="BN173" s="23" t="s">
        <v>216</v>
      </c>
      <c r="BT173" t="s">
        <v>502</v>
      </c>
    </row>
    <row r="174" spans="1:72" ht="12.9" customHeight="1">
      <c r="C174" s="24"/>
      <c r="D174" s="3" t="s">
        <v>1344</v>
      </c>
      <c r="J174" s="1395" t="s">
        <v>2522</v>
      </c>
      <c r="K174" s="1395"/>
      <c r="L174" s="1395"/>
      <c r="M174" s="1395"/>
      <c r="N174" s="1395"/>
      <c r="O174" s="1395"/>
      <c r="P174" s="1395"/>
      <c r="Q174" s="1395"/>
      <c r="R174" s="1395"/>
      <c r="S174" s="1395"/>
      <c r="T174" s="1395"/>
      <c r="U174" s="1395"/>
      <c r="V174" s="1395"/>
      <c r="W174" s="1395"/>
      <c r="X174" s="1395"/>
      <c r="Y174" s="1395"/>
      <c r="Z174" s="1395"/>
      <c r="AA174" s="1395"/>
      <c r="AB174" s="1395"/>
      <c r="BN174" s="23" t="s">
        <v>218</v>
      </c>
      <c r="BT174" t="s">
        <v>503</v>
      </c>
    </row>
    <row r="175" spans="1:72" ht="12.9" customHeight="1">
      <c r="C175" s="8"/>
      <c r="D175" s="3" t="s">
        <v>324</v>
      </c>
      <c r="O175" s="27"/>
      <c r="U175" s="1374"/>
      <c r="V175" s="1374"/>
      <c r="BN175" s="23" t="s">
        <v>219</v>
      </c>
      <c r="BT175" t="s">
        <v>504</v>
      </c>
    </row>
    <row r="176" spans="1:72" ht="12.9" customHeight="1">
      <c r="C176" s="8"/>
      <c r="D176" s="26"/>
      <c r="E176" t="s">
        <v>306</v>
      </c>
      <c r="O176" s="27"/>
      <c r="P176" t="s">
        <v>2495</v>
      </c>
      <c r="T176" s="27" t="s">
        <v>307</v>
      </c>
      <c r="U176" s="1545"/>
      <c r="V176" s="1545"/>
      <c r="W176" s="1" t="s">
        <v>308</v>
      </c>
      <c r="X176" s="1557"/>
      <c r="Y176" s="1557"/>
      <c r="BN176" s="23" t="s">
        <v>221</v>
      </c>
      <c r="BT176" t="s">
        <v>505</v>
      </c>
    </row>
    <row r="177" spans="1:72" ht="12.9" customHeight="1">
      <c r="C177" s="24"/>
      <c r="D177" t="s">
        <v>251</v>
      </c>
      <c r="R177" s="1374"/>
      <c r="S177" s="1374"/>
      <c r="BN177" s="23" t="s">
        <v>222</v>
      </c>
      <c r="BT177" t="s">
        <v>506</v>
      </c>
    </row>
    <row r="178" spans="1:72" ht="12.9" customHeight="1">
      <c r="C178" s="24"/>
      <c r="D178" s="3" t="s">
        <v>1345</v>
      </c>
      <c r="AA178" t="s">
        <v>2495</v>
      </c>
      <c r="AE178" s="27" t="s">
        <v>307</v>
      </c>
      <c r="AF178" s="1725"/>
      <c r="AG178" s="1725"/>
      <c r="AH178" s="1" t="s">
        <v>308</v>
      </c>
      <c r="AI178" s="1467"/>
      <c r="AJ178" s="1467"/>
      <c r="AK178" s="1467"/>
      <c r="BN178" s="23" t="s">
        <v>223</v>
      </c>
      <c r="BT178" t="s">
        <v>53</v>
      </c>
    </row>
    <row r="179" spans="1:72" ht="12.9" customHeight="1">
      <c r="C179" s="24"/>
      <c r="BN179" s="23" t="s">
        <v>224</v>
      </c>
      <c r="BT179" t="s">
        <v>54</v>
      </c>
    </row>
    <row r="180" spans="1:72" ht="12.9" customHeight="1">
      <c r="C180" s="24"/>
      <c r="D180" t="s">
        <v>2496</v>
      </c>
      <c r="X180" s="1374"/>
      <c r="Y180" s="1374"/>
      <c r="BN180" s="23" t="s">
        <v>226</v>
      </c>
      <c r="BT180" t="s">
        <v>55</v>
      </c>
    </row>
    <row r="181" spans="1:72" ht="12.9" customHeight="1">
      <c r="C181" s="8"/>
      <c r="E181" s="4" t="s">
        <v>1015</v>
      </c>
      <c r="BN181" s="23" t="s">
        <v>227</v>
      </c>
      <c r="BT181" t="s">
        <v>56</v>
      </c>
    </row>
    <row r="182" spans="1:72" ht="12.9" customHeight="1">
      <c r="C182" s="565"/>
      <c r="BN182" s="23" t="s">
        <v>228</v>
      </c>
      <c r="BT182" t="s">
        <v>60</v>
      </c>
    </row>
    <row r="183" spans="1:72" ht="12.9" customHeight="1">
      <c r="A183" s="2" t="s">
        <v>586</v>
      </c>
      <c r="C183" s="2" t="s">
        <v>587</v>
      </c>
      <c r="BN183" s="23" t="s">
        <v>230</v>
      </c>
      <c r="BT183" t="s">
        <v>61</v>
      </c>
    </row>
    <row r="184" spans="1:72" ht="12.9" customHeight="1">
      <c r="C184" s="21"/>
      <c r="D184" t="s">
        <v>588</v>
      </c>
      <c r="I184" s="1511" t="str">
        <f>H18</f>
        <v xml:space="preserve">OTC by Vintage </v>
      </c>
      <c r="J184" s="1511"/>
      <c r="K184" s="1511"/>
      <c r="L184" s="1511"/>
      <c r="M184" s="1511"/>
      <c r="N184" s="1511"/>
      <c r="O184" s="1511"/>
      <c r="P184" s="1511"/>
      <c r="Q184" s="1511"/>
      <c r="R184" s="1511"/>
      <c r="S184" s="1511"/>
      <c r="T184" s="1511"/>
      <c r="U184" s="1511"/>
      <c r="V184" s="1511"/>
      <c r="W184" s="1511"/>
      <c r="X184" s="1511"/>
      <c r="Y184" s="1511"/>
      <c r="Z184" s="1511"/>
      <c r="AA184" s="1511"/>
      <c r="AB184" s="1511"/>
      <c r="AC184" s="1511"/>
      <c r="AD184" s="1511"/>
      <c r="AE184" s="1511"/>
      <c r="BC184" t="s">
        <v>597</v>
      </c>
      <c r="BN184" s="23" t="s">
        <v>232</v>
      </c>
      <c r="BT184" t="s">
        <v>62</v>
      </c>
    </row>
    <row r="185" spans="1:72" ht="12.9" customHeight="1">
      <c r="C185" s="21"/>
      <c r="D185" t="s">
        <v>589</v>
      </c>
      <c r="I185" s="1367" t="s">
        <v>2623</v>
      </c>
      <c r="J185" s="1367"/>
      <c r="K185" s="1367"/>
      <c r="L185" s="1367"/>
      <c r="M185" s="1367"/>
      <c r="N185" s="1367"/>
      <c r="O185" s="1367"/>
      <c r="P185" s="1367"/>
      <c r="Q185" s="1367"/>
      <c r="R185" s="1367"/>
      <c r="S185" s="1367"/>
      <c r="T185" s="1367"/>
      <c r="U185" s="1367"/>
      <c r="V185" s="1367"/>
      <c r="W185" s="1367"/>
      <c r="X185" s="1367"/>
      <c r="Y185" s="1367"/>
      <c r="Z185" s="1367"/>
      <c r="AA185" s="1367"/>
      <c r="AB185" s="1367"/>
      <c r="AC185" s="1367"/>
      <c r="AD185" s="1367"/>
      <c r="AE185" s="1367"/>
      <c r="BC185" t="s">
        <v>598</v>
      </c>
      <c r="BN185" s="23" t="s">
        <v>233</v>
      </c>
      <c r="BT185" t="s">
        <v>63</v>
      </c>
    </row>
    <row r="186" spans="1:72" ht="12.9" customHeight="1">
      <c r="C186" s="21"/>
      <c r="E186" t="s">
        <v>169</v>
      </c>
      <c r="BN186" s="23" t="s">
        <v>234</v>
      </c>
      <c r="BT186" t="s">
        <v>64</v>
      </c>
    </row>
    <row r="187" spans="1:72" ht="12.9" customHeight="1">
      <c r="C187" s="21"/>
      <c r="E187" s="1443"/>
      <c r="F187" s="1443"/>
      <c r="G187" s="1443"/>
      <c r="H187" s="1443"/>
      <c r="I187" s="1443"/>
      <c r="J187" s="1443"/>
      <c r="K187" s="1443"/>
      <c r="L187" s="1443"/>
      <c r="M187" s="1443"/>
      <c r="N187" s="1443"/>
      <c r="O187" s="1443"/>
      <c r="P187" s="1443"/>
      <c r="Q187" s="1443"/>
      <c r="R187" s="1443"/>
      <c r="S187" s="1443"/>
      <c r="T187" s="1443"/>
      <c r="U187" s="1443"/>
      <c r="V187" s="1443"/>
      <c r="W187" s="1443"/>
      <c r="X187" s="1443"/>
      <c r="Y187" s="1443"/>
      <c r="Z187" s="1443"/>
      <c r="AA187" s="1443"/>
      <c r="AB187" s="1443"/>
      <c r="AC187" s="1443"/>
      <c r="AD187" s="1443"/>
      <c r="AE187" s="1443"/>
      <c r="BN187" s="23" t="s">
        <v>235</v>
      </c>
      <c r="BT187" t="s">
        <v>65</v>
      </c>
    </row>
    <row r="188" spans="1:72" ht="12.9" customHeight="1">
      <c r="C188" s="21"/>
      <c r="E188" s="1444"/>
      <c r="F188" s="1444"/>
      <c r="G188" s="1444"/>
      <c r="H188" s="1444"/>
      <c r="I188" s="1444"/>
      <c r="J188" s="1444"/>
      <c r="K188" s="1444"/>
      <c r="L188" s="1444"/>
      <c r="M188" s="1444"/>
      <c r="N188" s="1444"/>
      <c r="O188" s="1444"/>
      <c r="P188" s="1444"/>
      <c r="Q188" s="1444"/>
      <c r="R188" s="1444"/>
      <c r="S188" s="1444"/>
      <c r="T188" s="1444"/>
      <c r="U188" s="1444"/>
      <c r="V188" s="1444"/>
      <c r="W188" s="1444"/>
      <c r="X188" s="1444"/>
      <c r="Y188" s="1444"/>
      <c r="Z188" s="1444"/>
      <c r="AA188" s="1444"/>
      <c r="AB188" s="1444"/>
      <c r="AC188" s="1444"/>
      <c r="AD188" s="1444"/>
      <c r="AE188" s="1444"/>
      <c r="BN188" s="23" t="s">
        <v>237</v>
      </c>
      <c r="BT188" t="s">
        <v>66</v>
      </c>
    </row>
    <row r="189" spans="1:72" ht="12.9" customHeight="1">
      <c r="C189" s="21"/>
      <c r="D189" t="s">
        <v>590</v>
      </c>
      <c r="I189" s="1395" t="s">
        <v>2624</v>
      </c>
      <c r="J189" s="1395"/>
      <c r="K189" s="1395"/>
      <c r="L189" s="1395"/>
      <c r="M189" s="1395"/>
      <c r="N189" s="1395"/>
      <c r="O189" s="1395"/>
      <c r="P189" s="1395"/>
      <c r="Q189" t="s">
        <v>592</v>
      </c>
      <c r="T189" s="1395" t="s">
        <v>742</v>
      </c>
      <c r="U189" s="1395"/>
      <c r="V189" s="1395"/>
      <c r="W189" s="1395"/>
      <c r="X189" s="1395"/>
      <c r="Y189" s="1395"/>
      <c r="Z189" s="1395"/>
      <c r="AA189" s="1395"/>
      <c r="AB189" s="1395"/>
      <c r="AC189" s="1395"/>
      <c r="AD189" s="1395"/>
      <c r="AE189" s="1395"/>
      <c r="BC189" t="s">
        <v>309</v>
      </c>
      <c r="BH189" s="3" t="s">
        <v>601</v>
      </c>
      <c r="BN189" s="23" t="s">
        <v>238</v>
      </c>
      <c r="BT189" t="s">
        <v>67</v>
      </c>
    </row>
    <row r="190" spans="1:72" ht="12.9" customHeight="1">
      <c r="C190" s="21"/>
      <c r="D190" t="s">
        <v>593</v>
      </c>
      <c r="I190" s="1367">
        <v>91915</v>
      </c>
      <c r="J190" s="1367"/>
      <c r="K190" s="1367"/>
      <c r="L190" s="1367"/>
      <c r="M190" s="1367"/>
      <c r="N190" s="1367"/>
      <c r="O190" t="s">
        <v>595</v>
      </c>
      <c r="T190" s="1546">
        <v>133.19999999999999</v>
      </c>
      <c r="U190" s="1546"/>
      <c r="V190" s="1546"/>
      <c r="W190" s="1546"/>
      <c r="X190" s="1546"/>
      <c r="Y190" s="1546"/>
      <c r="Z190" s="1546"/>
      <c r="AA190" s="1546"/>
      <c r="AB190" s="1546"/>
      <c r="AC190" s="1546"/>
      <c r="AD190" s="1546"/>
      <c r="AE190" s="1546"/>
      <c r="BC190" t="s">
        <v>1101</v>
      </c>
      <c r="BH190" t="s">
        <v>1101</v>
      </c>
      <c r="BN190" s="23" t="s">
        <v>645</v>
      </c>
      <c r="BT190" t="s">
        <v>68</v>
      </c>
    </row>
    <row r="191" spans="1:72" ht="12.9" customHeight="1">
      <c r="C191" s="21"/>
      <c r="D191" t="s">
        <v>472</v>
      </c>
      <c r="N191" s="1443" t="s">
        <v>2730</v>
      </c>
      <c r="O191" s="1443"/>
      <c r="P191" s="1443"/>
      <c r="Q191" s="1443"/>
      <c r="R191" s="1443"/>
      <c r="S191" s="1443"/>
      <c r="T191" s="1443"/>
      <c r="U191" s="1443"/>
      <c r="V191" s="1443"/>
      <c r="W191" s="1443"/>
      <c r="X191" s="1443"/>
      <c r="Y191" s="1443"/>
      <c r="Z191" s="1443"/>
      <c r="AA191" s="1443"/>
      <c r="AB191" s="1443"/>
      <c r="AC191" s="1443"/>
      <c r="AD191" s="1443"/>
      <c r="AE191" s="1443"/>
      <c r="BC191" t="s">
        <v>1100</v>
      </c>
      <c r="BH191" t="s">
        <v>1100</v>
      </c>
      <c r="BN191" s="23" t="s">
        <v>699</v>
      </c>
      <c r="BT191" t="s">
        <v>740</v>
      </c>
    </row>
    <row r="192" spans="1:72" ht="12.9" customHeight="1">
      <c r="C192" s="21"/>
      <c r="M192" s="40"/>
      <c r="N192" s="1444"/>
      <c r="O192" s="1444"/>
      <c r="P192" s="1444"/>
      <c r="Q192" s="1444"/>
      <c r="R192" s="1444"/>
      <c r="S192" s="1444"/>
      <c r="T192" s="1444"/>
      <c r="U192" s="1444"/>
      <c r="V192" s="1444"/>
      <c r="W192" s="1444"/>
      <c r="X192" s="1444"/>
      <c r="Y192" s="1444"/>
      <c r="Z192" s="1444"/>
      <c r="AA192" s="1444"/>
      <c r="AB192" s="1444"/>
      <c r="AC192" s="1444"/>
      <c r="AD192" s="1444"/>
      <c r="AE192" s="1444"/>
      <c r="BC192" t="s">
        <v>1103</v>
      </c>
      <c r="BH192" s="3" t="s">
        <v>1806</v>
      </c>
      <c r="BN192" s="23" t="s">
        <v>700</v>
      </c>
      <c r="BT192" t="s">
        <v>741</v>
      </c>
    </row>
    <row r="193" spans="1:74" ht="12.9" customHeight="1">
      <c r="C193" s="21"/>
      <c r="D193" t="s">
        <v>2497</v>
      </c>
      <c r="M193" s="40"/>
      <c r="N193" s="930" t="s">
        <v>2238</v>
      </c>
      <c r="O193" s="930"/>
      <c r="P193" s="930"/>
      <c r="Q193" s="930"/>
      <c r="R193" s="930"/>
      <c r="S193" s="930"/>
      <c r="T193" s="1560" t="s">
        <v>2318</v>
      </c>
      <c r="U193" s="1560"/>
      <c r="V193" s="1560"/>
      <c r="W193" s="1560"/>
      <c r="X193" s="1560"/>
      <c r="Y193" s="1560"/>
      <c r="Z193" s="1560"/>
      <c r="AA193" s="1560"/>
      <c r="AB193" s="1560"/>
      <c r="AC193" s="1560"/>
      <c r="AD193" s="1560"/>
      <c r="AE193" s="1560"/>
      <c r="AF193" s="1560"/>
      <c r="AG193" s="1560"/>
      <c r="AH193" s="1560"/>
      <c r="AI193" s="1560"/>
      <c r="BC193" t="s">
        <v>1102</v>
      </c>
      <c r="BH193" s="3" t="s">
        <v>1807</v>
      </c>
      <c r="BN193" s="23" t="s">
        <v>701</v>
      </c>
      <c r="BT193" t="s">
        <v>742</v>
      </c>
    </row>
    <row r="194" spans="1:74" ht="12.9" customHeight="1">
      <c r="C194" s="21"/>
      <c r="D194" t="s">
        <v>333</v>
      </c>
      <c r="T194" s="1374" t="s">
        <v>555</v>
      </c>
      <c r="U194" s="1374"/>
      <c r="W194" t="s">
        <v>695</v>
      </c>
      <c r="AH194" s="1374">
        <v>52</v>
      </c>
      <c r="AI194" s="1374"/>
      <c r="BC194" t="s">
        <v>1535</v>
      </c>
      <c r="BN194" s="23" t="s">
        <v>702</v>
      </c>
      <c r="BT194" t="s">
        <v>743</v>
      </c>
    </row>
    <row r="195" spans="1:74" ht="12.9" customHeight="1">
      <c r="C195" s="21"/>
      <c r="D195" t="s">
        <v>388</v>
      </c>
      <c r="T195" s="1356" t="s">
        <v>679</v>
      </c>
      <c r="U195" s="1356"/>
      <c r="W195" t="s">
        <v>696</v>
      </c>
      <c r="AH195" s="1374">
        <v>80</v>
      </c>
      <c r="AI195" s="1374"/>
      <c r="BC195" t="s">
        <v>2118</v>
      </c>
      <c r="BN195" s="23" t="s">
        <v>244</v>
      </c>
      <c r="BT195" t="s">
        <v>744</v>
      </c>
    </row>
    <row r="196" spans="1:74" ht="12.9" customHeight="1">
      <c r="C196" s="21"/>
      <c r="D196" s="3" t="s">
        <v>170</v>
      </c>
      <c r="T196" s="1356" t="s">
        <v>679</v>
      </c>
      <c r="U196" s="1356"/>
      <c r="W196" t="s">
        <v>697</v>
      </c>
      <c r="AH196" s="1374">
        <v>18</v>
      </c>
      <c r="AI196" s="1374"/>
      <c r="BN196" s="23" t="s">
        <v>245</v>
      </c>
      <c r="BT196" t="s">
        <v>69</v>
      </c>
    </row>
    <row r="197" spans="1:74" ht="12.9" customHeight="1">
      <c r="C197" s="21"/>
      <c r="D197" s="3" t="s">
        <v>1831</v>
      </c>
      <c r="T197" s="1356"/>
      <c r="U197" s="1356"/>
      <c r="AH197" s="14"/>
      <c r="AI197" s="14"/>
      <c r="BC197" t="s">
        <v>309</v>
      </c>
      <c r="BN197" s="23" t="s">
        <v>246</v>
      </c>
      <c r="BT197" t="s">
        <v>70</v>
      </c>
    </row>
    <row r="198" spans="1:74" s="14" customFormat="1" ht="12.9" customHeight="1">
      <c r="A198"/>
      <c r="B198"/>
      <c r="C198" s="21"/>
      <c r="E198"/>
      <c r="F198"/>
      <c r="G198"/>
      <c r="H198"/>
      <c r="I198"/>
      <c r="J198"/>
      <c r="K198"/>
      <c r="L198"/>
      <c r="M198"/>
      <c r="N198"/>
      <c r="O198"/>
      <c r="P198"/>
      <c r="Q198"/>
      <c r="R198"/>
      <c r="S198"/>
      <c r="T198"/>
      <c r="U198"/>
      <c r="V198"/>
      <c r="W198"/>
      <c r="X198" s="1076" t="s">
        <v>2498</v>
      </c>
      <c r="Y198" s="1374" t="s">
        <v>679</v>
      </c>
      <c r="Z198" s="1374"/>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708</v>
      </c>
      <c r="BO198"/>
      <c r="BP198"/>
      <c r="BQ198"/>
      <c r="BR198"/>
      <c r="BS198"/>
      <c r="BT198" t="s">
        <v>193</v>
      </c>
      <c r="BU198"/>
      <c r="BV198" s="31"/>
    </row>
    <row r="199" spans="1:74" s="14" customFormat="1" ht="12.9"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709</v>
      </c>
      <c r="BO199"/>
      <c r="BP199"/>
      <c r="BQ199"/>
      <c r="BR199"/>
      <c r="BS199"/>
      <c r="BT199" s="32" t="s">
        <v>194</v>
      </c>
      <c r="BU199"/>
      <c r="BV199" s="31"/>
    </row>
    <row r="200" spans="1:74" s="14" customFormat="1" ht="12.9"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1126</v>
      </c>
      <c r="BD200" s="470"/>
      <c r="BN200" s="23" t="s">
        <v>710</v>
      </c>
      <c r="BO200"/>
      <c r="BP200"/>
      <c r="BQ200"/>
      <c r="BR200"/>
      <c r="BS200"/>
      <c r="BT200" s="32" t="s">
        <v>195</v>
      </c>
      <c r="BU200"/>
    </row>
    <row r="201" spans="1:74" s="14" customFormat="1" ht="12.9"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 customHeight="1">
      <c r="A202" s="2" t="s">
        <v>596</v>
      </c>
      <c r="C202" s="2" t="s">
        <v>137</v>
      </c>
      <c r="BC202" t="s">
        <v>1127</v>
      </c>
      <c r="BD202" s="470"/>
      <c r="BN202" s="23" t="s">
        <v>712</v>
      </c>
      <c r="BO202" s="14"/>
      <c r="BP202" s="32"/>
      <c r="BQ202" s="32"/>
      <c r="BR202" s="32"/>
      <c r="BS202" s="32"/>
      <c r="BT202" s="32" t="s">
        <v>197</v>
      </c>
    </row>
    <row r="203" spans="1:74" ht="12.9" customHeight="1">
      <c r="D203" s="1511" t="s">
        <v>387</v>
      </c>
      <c r="E203" s="1511"/>
      <c r="F203" s="1511"/>
      <c r="G203" s="1511"/>
      <c r="H203" s="1511"/>
      <c r="I203" s="1511"/>
      <c r="J203" s="1511"/>
      <c r="K203" s="1511"/>
      <c r="L203" s="1511"/>
      <c r="M203" s="1511"/>
      <c r="P203" s="1542">
        <f>M26</f>
        <v>4259225</v>
      </c>
      <c r="Q203" s="1543"/>
      <c r="R203" s="1543"/>
      <c r="S203" s="1543"/>
      <c r="T203" s="1543"/>
      <c r="U203" s="1543"/>
      <c r="Z203" s="1562" t="s">
        <v>1326</v>
      </c>
      <c r="AA203" s="1562"/>
      <c r="AB203" s="1562"/>
      <c r="AC203" s="1562"/>
      <c r="AD203" s="1562"/>
      <c r="AE203" s="1562"/>
      <c r="AF203" s="1562"/>
      <c r="BC203" t="s">
        <v>1128</v>
      </c>
      <c r="BN203" s="23" t="s">
        <v>713</v>
      </c>
      <c r="BO203" s="14"/>
      <c r="BP203" s="32"/>
      <c r="BQ203" s="32"/>
      <c r="BR203" s="32"/>
      <c r="BS203" s="32"/>
      <c r="BT203" s="32" t="s">
        <v>198</v>
      </c>
    </row>
    <row r="204" spans="1:74" ht="12.9" customHeight="1">
      <c r="C204" s="21"/>
      <c r="D204" s="1561" t="s">
        <v>1402</v>
      </c>
      <c r="E204" s="1511"/>
      <c r="F204" s="1511"/>
      <c r="G204" s="1511"/>
      <c r="H204" s="1511"/>
      <c r="I204" s="1511"/>
      <c r="J204" s="1511"/>
      <c r="K204" s="1511"/>
      <c r="L204" s="1511"/>
      <c r="M204" s="1511"/>
      <c r="P204" s="1543">
        <f>M27</f>
        <v>0</v>
      </c>
      <c r="Q204" s="1543"/>
      <c r="R204" s="1543"/>
      <c r="S204" s="1543"/>
      <c r="T204" s="1543"/>
      <c r="U204" s="1543"/>
      <c r="V204" s="28"/>
      <c r="W204" s="3" t="s">
        <v>1979</v>
      </c>
      <c r="Z204" s="1562"/>
      <c r="AA204" s="1562"/>
      <c r="AB204" s="1562"/>
      <c r="AC204" s="1562"/>
      <c r="AD204" s="1562"/>
      <c r="AE204" s="1562"/>
      <c r="AF204" s="1562"/>
      <c r="AG204" t="s">
        <v>1403</v>
      </c>
      <c r="AP204" s="1374" t="s">
        <v>679</v>
      </c>
      <c r="AQ204" s="1374"/>
      <c r="BC204" t="s">
        <v>620</v>
      </c>
      <c r="BN204" s="23" t="s">
        <v>714</v>
      </c>
      <c r="BT204" s="32" t="s">
        <v>199</v>
      </c>
      <c r="BU204" s="14"/>
    </row>
    <row r="205" spans="1:74" ht="12.9" customHeight="1">
      <c r="D205" s="29"/>
      <c r="E205" s="29"/>
      <c r="F205" s="29"/>
      <c r="G205" s="29"/>
      <c r="H205" s="29"/>
      <c r="I205" s="29"/>
      <c r="J205" s="29"/>
      <c r="K205" s="29"/>
      <c r="L205" s="29"/>
      <c r="M205" s="29"/>
      <c r="N205" s="29"/>
      <c r="O205" s="29"/>
      <c r="P205" s="29"/>
      <c r="Z205" s="1563"/>
      <c r="AA205" s="1563"/>
      <c r="AB205" s="1563"/>
      <c r="AC205" s="1563"/>
      <c r="AD205" s="1563"/>
      <c r="AE205" s="1563"/>
      <c r="AF205" s="1563"/>
      <c r="BC205" t="s">
        <v>1086</v>
      </c>
      <c r="BN205" s="23" t="s">
        <v>110</v>
      </c>
      <c r="BT205" s="32" t="s">
        <v>175</v>
      </c>
      <c r="BU205" s="14"/>
    </row>
    <row r="206" spans="1:74" ht="12.9" customHeight="1">
      <c r="A206" s="2" t="s">
        <v>599</v>
      </c>
      <c r="C206" s="2" t="s">
        <v>561</v>
      </c>
      <c r="BC206" s="471" t="s">
        <v>1129</v>
      </c>
      <c r="BN206" s="23" t="s">
        <v>111</v>
      </c>
      <c r="BT206" s="32" t="s">
        <v>200</v>
      </c>
      <c r="BU206" s="14"/>
    </row>
    <row r="207" spans="1:74" ht="12.9" customHeight="1">
      <c r="C207" s="21"/>
      <c r="D207" s="1510" t="s">
        <v>2738</v>
      </c>
      <c r="E207" s="1532"/>
      <c r="F207" s="1532"/>
      <c r="G207" s="1532"/>
      <c r="H207" s="1532"/>
      <c r="I207" s="1532"/>
      <c r="J207" s="1532"/>
      <c r="K207" s="1532"/>
      <c r="L207" s="1532"/>
      <c r="M207" s="1532"/>
      <c r="BC207" s="3" t="s">
        <v>1359</v>
      </c>
      <c r="BN207" s="23" t="s">
        <v>45</v>
      </c>
      <c r="BT207" s="32" t="s">
        <v>201</v>
      </c>
    </row>
    <row r="208" spans="1:74" ht="12.9" customHeight="1">
      <c r="BC208" t="s">
        <v>1130</v>
      </c>
      <c r="BN208" s="23" t="s">
        <v>46</v>
      </c>
      <c r="BT208" s="32" t="s">
        <v>202</v>
      </c>
    </row>
    <row r="209" spans="1:72" ht="12.9" customHeight="1">
      <c r="A209" s="2" t="s">
        <v>600</v>
      </c>
      <c r="C209" s="2" t="s">
        <v>390</v>
      </c>
      <c r="BC209" t="s">
        <v>669</v>
      </c>
      <c r="BN209" s="23" t="s">
        <v>47</v>
      </c>
      <c r="BT209" s="32" t="s">
        <v>203</v>
      </c>
    </row>
    <row r="210" spans="1:72" ht="12.9" customHeight="1">
      <c r="C210" s="21"/>
      <c r="D210" s="1532" t="s">
        <v>1101</v>
      </c>
      <c r="E210" s="1532"/>
      <c r="F210" s="1532"/>
      <c r="G210" s="1532"/>
      <c r="H210" s="1532"/>
      <c r="I210" s="1532"/>
      <c r="J210" s="1532"/>
      <c r="K210" s="1532"/>
      <c r="L210" s="1532"/>
      <c r="M210" s="1532"/>
      <c r="BN210" s="23" t="s">
        <v>48</v>
      </c>
      <c r="BT210" s="32" t="s">
        <v>204</v>
      </c>
    </row>
    <row r="211" spans="1:72" ht="12.9" customHeight="1">
      <c r="C211" s="21"/>
      <c r="D211" t="s">
        <v>1392</v>
      </c>
      <c r="Y211" s="1374"/>
      <c r="Z211" s="1374"/>
      <c r="AB211" s="1558">
        <f>IFERROR(Y211/AG439,"")</f>
        <v>0</v>
      </c>
      <c r="AC211" s="1559"/>
      <c r="BN211" s="23" t="s">
        <v>130</v>
      </c>
      <c r="BT211" s="32" t="s">
        <v>131</v>
      </c>
    </row>
    <row r="212" spans="1:72" ht="12.9" customHeight="1">
      <c r="D212" s="1198" t="s">
        <v>1805</v>
      </c>
      <c r="BC212" t="s">
        <v>309</v>
      </c>
      <c r="BN212" s="23" t="s">
        <v>49</v>
      </c>
      <c r="BT212" s="32" t="s">
        <v>205</v>
      </c>
    </row>
    <row r="213" spans="1:72" ht="12.9" customHeight="1">
      <c r="D213" s="1457" t="s">
        <v>601</v>
      </c>
      <c r="E213" s="1457"/>
      <c r="F213" s="1457"/>
      <c r="G213" s="1457"/>
      <c r="H213" s="1457"/>
      <c r="I213" s="1457"/>
      <c r="J213" s="1457"/>
      <c r="K213" s="1457"/>
      <c r="L213" s="1457"/>
      <c r="M213" s="1457"/>
      <c r="N213" s="1457"/>
      <c r="O213" s="1457"/>
      <c r="P213" s="1457"/>
      <c r="Q213" s="1457"/>
      <c r="R213" s="1457"/>
      <c r="S213" s="1457"/>
      <c r="T213" s="1457"/>
      <c r="U213" s="1457"/>
      <c r="V213" s="1457"/>
      <c r="W213" s="1457"/>
      <c r="X213" s="1457"/>
      <c r="Y213" s="1457"/>
      <c r="Z213" s="1457"/>
      <c r="BC213" t="s">
        <v>536</v>
      </c>
      <c r="BN213" s="23" t="s">
        <v>50</v>
      </c>
      <c r="BT213" s="32" t="s">
        <v>206</v>
      </c>
    </row>
    <row r="214" spans="1:72" ht="12.9" customHeight="1">
      <c r="D214" s="3" t="s">
        <v>1832</v>
      </c>
      <c r="Z214" s="40"/>
      <c r="AB214" s="1455"/>
      <c r="AC214" s="1455"/>
      <c r="AD214" s="1455"/>
      <c r="AE214" s="1455"/>
      <c r="AF214" s="1455"/>
      <c r="AG214" s="1455"/>
      <c r="AH214" s="1455"/>
      <c r="AI214" s="1455"/>
      <c r="AJ214" s="1455"/>
      <c r="AK214" s="1455"/>
      <c r="AL214" s="1455"/>
      <c r="AM214" s="21"/>
      <c r="AN214" s="21"/>
      <c r="AO214" s="21"/>
      <c r="AP214" s="21"/>
      <c r="AQ214" s="21"/>
      <c r="AR214" s="21"/>
      <c r="AS214" s="21"/>
      <c r="AT214" s="21"/>
      <c r="AU214" s="21"/>
      <c r="AV214" s="21"/>
      <c r="AW214" s="21"/>
      <c r="AX214" s="21"/>
      <c r="AY214" s="21"/>
      <c r="BC214" t="s">
        <v>540</v>
      </c>
      <c r="BN214" s="23" t="s">
        <v>328</v>
      </c>
      <c r="BT214" s="32" t="s">
        <v>207</v>
      </c>
    </row>
    <row r="215" spans="1:72" ht="12.9" customHeight="1">
      <c r="D215" s="3" t="s">
        <v>1830</v>
      </c>
      <c r="Z215" s="40"/>
      <c r="AB215" s="1455"/>
      <c r="AC215" s="1455"/>
      <c r="AD215" s="1455"/>
      <c r="AE215" s="1455"/>
      <c r="AF215" s="1455"/>
      <c r="AG215" s="1455"/>
      <c r="AH215" s="1455"/>
      <c r="AI215" s="1455"/>
      <c r="AJ215" s="1455"/>
      <c r="AK215" s="1455"/>
      <c r="AL215" s="1455"/>
      <c r="AM215" s="21"/>
      <c r="AN215" s="21"/>
      <c r="AO215" s="21"/>
      <c r="AP215" s="21"/>
      <c r="AQ215" s="21"/>
      <c r="AR215" s="21"/>
      <c r="AS215" s="21"/>
      <c r="AT215" s="21"/>
      <c r="AU215" s="21"/>
      <c r="AV215" s="21"/>
      <c r="AW215" s="21"/>
      <c r="AX215" s="21"/>
      <c r="AY215" s="21"/>
      <c r="BC215" t="s">
        <v>537</v>
      </c>
    </row>
    <row r="216" spans="1:72" ht="12.9"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 customHeight="1">
      <c r="A217" s="2" t="s">
        <v>602</v>
      </c>
      <c r="C217" s="2" t="s">
        <v>1367</v>
      </c>
      <c r="D217" s="28"/>
      <c r="BC217" t="s">
        <v>538</v>
      </c>
    </row>
    <row r="218" spans="1:72" ht="12.9" customHeight="1">
      <c r="A218" s="2"/>
      <c r="C218" s="2"/>
      <c r="D218" s="4" t="s">
        <v>1040</v>
      </c>
      <c r="BC218" t="s">
        <v>539</v>
      </c>
    </row>
    <row r="219" spans="1:72" ht="12.9" customHeight="1">
      <c r="A219" s="2"/>
      <c r="C219" s="2"/>
      <c r="D219" s="1510" t="s">
        <v>621</v>
      </c>
      <c r="E219" s="1532"/>
      <c r="F219" s="1532"/>
      <c r="G219" s="1532"/>
      <c r="H219" s="1532"/>
      <c r="I219" s="1532"/>
      <c r="J219" s="1532"/>
      <c r="K219" s="1532"/>
      <c r="L219" s="1532"/>
      <c r="M219" s="1532"/>
      <c r="N219" s="1532"/>
      <c r="O219" s="1532"/>
      <c r="P219" s="1532"/>
      <c r="Q219" s="1532"/>
      <c r="R219" s="1532"/>
      <c r="S219" s="1532"/>
      <c r="T219" s="1532"/>
      <c r="U219" s="1532"/>
      <c r="V219" s="1532"/>
      <c r="W219" s="1532"/>
      <c r="X219" s="1532"/>
      <c r="Y219" s="1532"/>
      <c r="Z219" s="1532"/>
      <c r="AZ219" s="3"/>
      <c r="BA219" s="3"/>
      <c r="BC219" t="s">
        <v>379</v>
      </c>
    </row>
    <row r="220" spans="1:72" ht="12.9" customHeight="1">
      <c r="A220" s="2"/>
      <c r="B220" s="14"/>
      <c r="C220" s="2"/>
      <c r="BA220" s="3"/>
      <c r="BC220" t="s">
        <v>302</v>
      </c>
    </row>
    <row r="221" spans="1:72" ht="12.9" customHeight="1">
      <c r="A221" s="1440" t="s">
        <v>550</v>
      </c>
      <c r="B221" s="1440"/>
      <c r="C221" s="1440"/>
      <c r="D221" s="1440"/>
      <c r="E221" s="1440"/>
      <c r="F221" s="1440"/>
      <c r="G221" s="1440"/>
      <c r="H221" s="1440"/>
      <c r="I221" s="1440"/>
      <c r="J221" s="1440"/>
      <c r="K221" s="1440"/>
      <c r="L221" s="1440"/>
      <c r="M221" s="1440"/>
      <c r="N221" s="1440"/>
      <c r="O221" s="1440"/>
      <c r="P221" s="1440"/>
      <c r="Q221" s="1440"/>
      <c r="R221" s="1440"/>
      <c r="S221" s="1440"/>
      <c r="T221" s="1440"/>
      <c r="U221" s="1440"/>
      <c r="V221" s="1440"/>
      <c r="W221" s="1440"/>
      <c r="X221" s="1440"/>
      <c r="Y221" s="1440"/>
      <c r="Z221" s="1440"/>
      <c r="AA221" s="1440"/>
      <c r="AB221" s="1440"/>
      <c r="AC221" s="1440"/>
      <c r="AD221" s="1440"/>
      <c r="AE221" s="1440"/>
      <c r="AF221" s="1440"/>
      <c r="AG221" s="1440"/>
      <c r="AH221" s="1440"/>
      <c r="AI221" s="1440"/>
      <c r="AJ221" s="1440"/>
      <c r="AK221" s="1440"/>
      <c r="AL221" s="1440"/>
      <c r="AM221" s="95"/>
      <c r="AN221" s="95"/>
      <c r="AO221" s="95"/>
      <c r="AP221" s="95"/>
      <c r="AQ221" s="95"/>
      <c r="AR221" s="95"/>
      <c r="AS221" s="95"/>
      <c r="AT221" s="95"/>
      <c r="AU221" s="95"/>
      <c r="AV221" s="95"/>
      <c r="AW221" s="95"/>
      <c r="AX221" s="95"/>
      <c r="AY221" s="95"/>
      <c r="BA221" s="3"/>
    </row>
    <row r="222" spans="1:72" ht="12.9" customHeight="1" thickBot="1">
      <c r="A222" s="1441"/>
      <c r="B222" s="1441"/>
      <c r="C222" s="1441"/>
      <c r="D222" s="1441"/>
      <c r="E222" s="1441"/>
      <c r="F222" s="1441"/>
      <c r="G222" s="1441"/>
      <c r="H222" s="1441"/>
      <c r="I222" s="1441"/>
      <c r="J222" s="1441"/>
      <c r="K222" s="1441"/>
      <c r="L222" s="1441"/>
      <c r="M222" s="1441"/>
      <c r="N222" s="1441"/>
      <c r="O222" s="1441"/>
      <c r="P222" s="1441"/>
      <c r="Q222" s="1441"/>
      <c r="R222" s="1441"/>
      <c r="S222" s="1441"/>
      <c r="T222" s="1441"/>
      <c r="U222" s="1441"/>
      <c r="V222" s="1441"/>
      <c r="W222" s="1441"/>
      <c r="X222" s="1441"/>
      <c r="Y222" s="1441"/>
      <c r="Z222" s="1441"/>
      <c r="AA222" s="1441"/>
      <c r="AB222" s="1441"/>
      <c r="AC222" s="1441"/>
      <c r="AD222" s="1441"/>
      <c r="AE222" s="1441"/>
      <c r="AF222" s="1441"/>
      <c r="AG222" s="1441"/>
      <c r="AH222" s="1441"/>
      <c r="AI222" s="1441"/>
      <c r="AJ222" s="1441"/>
      <c r="AK222" s="1441"/>
      <c r="AL222" s="1441"/>
      <c r="AM222" s="95"/>
      <c r="AN222" s="95"/>
      <c r="AO222" s="95"/>
      <c r="AP222" s="95"/>
      <c r="AQ222" s="95"/>
      <c r="AR222" s="95"/>
      <c r="AS222" s="95"/>
      <c r="AT222" s="95"/>
      <c r="AU222" s="95"/>
      <c r="AV222" s="95"/>
      <c r="AW222" s="95"/>
      <c r="AX222" s="95"/>
      <c r="AY222" s="95"/>
      <c r="AZ222" s="3"/>
      <c r="BA222" s="3"/>
      <c r="BP222" s="34"/>
    </row>
    <row r="223" spans="1:72" ht="12.9" customHeight="1" thickTop="1">
      <c r="BA223" s="3"/>
      <c r="BB223" s="3"/>
      <c r="BQ223" s="34"/>
    </row>
    <row r="224" spans="1:72" ht="12.9" customHeight="1">
      <c r="A224" s="2" t="s">
        <v>321</v>
      </c>
      <c r="B224" s="2"/>
      <c r="C224" s="2" t="s">
        <v>2499</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4" t="s">
        <v>601</v>
      </c>
      <c r="AJ225" s="1374"/>
      <c r="AL225" s="3"/>
      <c r="AM225" s="3"/>
      <c r="AN225" s="3"/>
      <c r="AO225" s="3"/>
      <c r="AP225" s="3"/>
      <c r="AQ225" s="3"/>
      <c r="AR225" s="3"/>
      <c r="AS225" s="3"/>
      <c r="AT225" s="3"/>
      <c r="AU225" s="3"/>
      <c r="AV225" s="3"/>
      <c r="AW225" s="3"/>
      <c r="AX225" s="3"/>
      <c r="AY225" s="3"/>
      <c r="BO225" s="34"/>
    </row>
    <row r="226" spans="1:69" ht="12.9"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4" t="s">
        <v>555</v>
      </c>
      <c r="AJ226" s="1374"/>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4" t="s">
        <v>601</v>
      </c>
      <c r="AJ227" s="1374"/>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4" t="s">
        <v>601</v>
      </c>
      <c r="AJ228" s="1374"/>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2.9" customHeight="1">
      <c r="A230" s="2" t="s">
        <v>586</v>
      </c>
      <c r="B230" s="4"/>
      <c r="C230" s="2" t="s">
        <v>2500</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2</v>
      </c>
      <c r="BO230" s="34"/>
    </row>
    <row r="231" spans="1:69" ht="12.9" customHeight="1">
      <c r="D231" s="4" t="s">
        <v>480</v>
      </c>
      <c r="E231" s="4"/>
      <c r="F231" s="4"/>
      <c r="G231" s="4"/>
      <c r="H231" s="4"/>
      <c r="I231" s="4"/>
      <c r="J231" s="4"/>
      <c r="K231" s="4"/>
      <c r="M231" s="1547" t="str">
        <f>H16</f>
        <v xml:space="preserve">Vintage Housing Holdings, LLC </v>
      </c>
      <c r="N231" s="1547"/>
      <c r="O231" s="1547"/>
      <c r="P231" s="1547"/>
      <c r="Q231" s="1547"/>
      <c r="R231" s="1547"/>
      <c r="S231" s="1547"/>
      <c r="T231" s="1547"/>
      <c r="U231" s="1547"/>
      <c r="V231" s="1547"/>
      <c r="W231" s="1547"/>
      <c r="X231" s="1547"/>
      <c r="Y231" s="1547"/>
      <c r="Z231" s="1547"/>
      <c r="AA231" s="1547"/>
      <c r="AB231" s="1547"/>
      <c r="AC231" s="1547"/>
      <c r="AD231" s="1547"/>
      <c r="AE231" s="1547"/>
      <c r="AF231" s="1547"/>
      <c r="AG231" s="1547"/>
      <c r="AH231" s="1547"/>
      <c r="AI231" s="1547"/>
      <c r="AJ231" s="1547"/>
      <c r="AK231" s="1547"/>
      <c r="BA231" s="3"/>
      <c r="BB231" s="218"/>
      <c r="BG231" s="218"/>
      <c r="BQ231" s="34"/>
    </row>
    <row r="232" spans="1:69" ht="12.9" customHeight="1">
      <c r="D232" s="4" t="s">
        <v>86</v>
      </c>
      <c r="E232" s="4"/>
      <c r="F232" s="4"/>
      <c r="G232" s="4"/>
      <c r="H232" s="4"/>
      <c r="I232" s="4"/>
      <c r="J232" s="4"/>
      <c r="K232" s="4"/>
      <c r="M232" s="1532" t="s">
        <v>2642</v>
      </c>
      <c r="N232" s="1532"/>
      <c r="O232" s="1532"/>
      <c r="P232" s="1532"/>
      <c r="Q232" s="1532"/>
      <c r="R232" s="1532"/>
      <c r="S232" s="1532"/>
      <c r="T232" s="1532"/>
      <c r="U232" s="1532"/>
      <c r="V232" s="1532"/>
      <c r="W232" s="1532"/>
      <c r="X232" s="1532"/>
      <c r="Y232" s="1532"/>
      <c r="Z232" s="1532"/>
      <c r="AA232" s="1532"/>
      <c r="AB232" s="1532"/>
      <c r="AC232" s="1532"/>
      <c r="AD232" s="1532"/>
      <c r="AE232" s="1532"/>
      <c r="AZ232" s="4"/>
      <c r="BA232" s="3"/>
      <c r="BB232" s="219" t="s">
        <v>548</v>
      </c>
      <c r="BG232" s="259">
        <f>IF(AND(AND($M$248="nonprofit",$M$256="nonprofit",$M$264="for profit")),2,0)</f>
        <v>0</v>
      </c>
      <c r="BQ232" s="34"/>
    </row>
    <row r="233" spans="1:69" ht="12.9" customHeight="1">
      <c r="D233" s="4" t="s">
        <v>590</v>
      </c>
      <c r="E233" s="4"/>
      <c r="M233" s="1532" t="s">
        <v>2661</v>
      </c>
      <c r="N233" s="1532"/>
      <c r="O233" s="1532"/>
      <c r="P233" s="1532"/>
      <c r="Q233" s="1532"/>
      <c r="R233" s="1532"/>
      <c r="S233" s="1532"/>
      <c r="T233" s="1532"/>
      <c r="V233" s="33" t="s">
        <v>87</v>
      </c>
      <c r="W233" s="1462" t="s">
        <v>2636</v>
      </c>
      <c r="X233" s="1462"/>
      <c r="Y233" s="4" t="s">
        <v>593</v>
      </c>
      <c r="AC233" s="1532">
        <v>92660</v>
      </c>
      <c r="AD233" s="1532"/>
      <c r="AE233" s="1532"/>
      <c r="BB233" s="219" t="s">
        <v>548</v>
      </c>
      <c r="BG233" s="259">
        <f>IF(AND(AND($M$248="nonprofit",$M$256="for profit",$M$264="nonprofit")),2,0)</f>
        <v>0</v>
      </c>
    </row>
    <row r="234" spans="1:69" ht="12.9" customHeight="1">
      <c r="D234" s="4" t="s">
        <v>88</v>
      </c>
      <c r="E234" s="4"/>
      <c r="F234" s="4"/>
      <c r="G234" s="4"/>
      <c r="H234" s="4"/>
      <c r="I234" s="4"/>
      <c r="J234" s="4"/>
      <c r="K234" s="19"/>
      <c r="M234" s="1532" t="s">
        <v>2644</v>
      </c>
      <c r="N234" s="1532"/>
      <c r="O234" s="1532"/>
      <c r="P234" s="1532"/>
      <c r="Q234" s="1532"/>
      <c r="R234" s="1532"/>
      <c r="S234" s="1532"/>
      <c r="T234" s="1532"/>
      <c r="U234" s="1532"/>
      <c r="V234" s="1532"/>
      <c r="W234" s="1532"/>
      <c r="X234" s="1532"/>
      <c r="Y234" s="1532"/>
      <c r="Z234" s="1532"/>
      <c r="AA234" s="1532"/>
      <c r="AB234" s="1532"/>
      <c r="AC234" s="1532"/>
      <c r="AD234" s="1532"/>
      <c r="AE234" s="1532"/>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 customHeight="1">
      <c r="D235" s="4" t="s">
        <v>89</v>
      </c>
      <c r="E235" s="4"/>
      <c r="F235" s="4"/>
      <c r="M235" s="1436" t="s">
        <v>2645</v>
      </c>
      <c r="N235" s="1436"/>
      <c r="O235" s="1436"/>
      <c r="P235" s="1436"/>
      <c r="Q235" s="1436"/>
      <c r="R235" s="1436"/>
      <c r="S235" s="4" t="s">
        <v>208</v>
      </c>
      <c r="T235" s="4"/>
      <c r="U235" s="1462"/>
      <c r="V235" s="1462"/>
      <c r="W235" s="1462"/>
      <c r="X235" s="4" t="s">
        <v>90</v>
      </c>
      <c r="Z235" s="1436"/>
      <c r="AA235" s="1436"/>
      <c r="AB235" s="1436"/>
      <c r="AC235" s="1436"/>
      <c r="AD235" s="1436"/>
      <c r="AE235" s="1436"/>
      <c r="BB235" s="219"/>
      <c r="BG235" s="218"/>
    </row>
    <row r="236" spans="1:69" ht="12.9" customHeight="1">
      <c r="D236" s="4" t="s">
        <v>91</v>
      </c>
      <c r="E236" s="4"/>
      <c r="F236" s="4"/>
      <c r="M236" s="1465" t="s">
        <v>2646</v>
      </c>
      <c r="N236" s="1465"/>
      <c r="O236" s="1465"/>
      <c r="P236" s="1465"/>
      <c r="Q236" s="1465"/>
      <c r="R236" s="1465"/>
      <c r="S236" s="1465"/>
      <c r="T236" s="1465"/>
      <c r="U236" s="1465"/>
      <c r="V236" s="1465"/>
      <c r="W236" s="1465"/>
      <c r="X236" s="1465"/>
      <c r="Y236" s="1465"/>
      <c r="Z236" s="1465"/>
      <c r="AA236" s="1465"/>
      <c r="AB236" s="1465"/>
      <c r="AC236" s="1465"/>
      <c r="AD236" s="1465"/>
      <c r="AE236" s="1465"/>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 customHeight="1">
      <c r="A237" s="2" t="s">
        <v>596</v>
      </c>
      <c r="C237" s="2" t="s">
        <v>535</v>
      </c>
      <c r="M237" s="1367" t="s">
        <v>302</v>
      </c>
      <c r="N237" s="1367"/>
      <c r="O237" s="1367"/>
      <c r="P237" s="1367"/>
      <c r="Q237" s="1367"/>
      <c r="R237" s="1367"/>
      <c r="S237" s="1367"/>
      <c r="T237" s="1367"/>
      <c r="U237" s="218" t="s">
        <v>939</v>
      </c>
      <c r="V237" s="218"/>
      <c r="W237" s="218"/>
      <c r="X237" s="218"/>
      <c r="Y237" s="218"/>
      <c r="Z237" s="218"/>
      <c r="AA237" s="1531"/>
      <c r="AB237" s="1531"/>
      <c r="AC237" s="1531"/>
      <c r="AD237" s="1531"/>
      <c r="AE237" s="1531"/>
      <c r="AF237" s="1531"/>
      <c r="AG237" s="1531"/>
      <c r="AH237" s="1531"/>
      <c r="AI237" s="1531"/>
      <c r="AJ237" s="1531"/>
      <c r="AK237" s="1531"/>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 customHeight="1">
      <c r="D238" t="s">
        <v>541</v>
      </c>
      <c r="M238" s="1395"/>
      <c r="N238" s="1395"/>
      <c r="O238" s="1395"/>
      <c r="P238" s="1395"/>
      <c r="Q238" s="1395"/>
      <c r="R238" s="1395"/>
      <c r="S238" s="1395"/>
      <c r="T238" s="1395"/>
      <c r="U238" s="1395"/>
      <c r="V238" s="1395"/>
      <c r="W238" s="1395"/>
      <c r="X238" s="1395"/>
      <c r="Y238" s="1395"/>
      <c r="Z238" s="1395"/>
      <c r="AA238" s="1395"/>
      <c r="AB238" s="1395"/>
      <c r="AC238" s="1395"/>
      <c r="AD238" s="1395"/>
      <c r="AE238" s="1395"/>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2.9" customHeight="1">
      <c r="D239" s="4"/>
      <c r="BB239" s="218" t="s">
        <v>906</v>
      </c>
      <c r="BG239" s="259">
        <f>IF(AND(AND($M$248="for profit",$M$256="for profit",$M$264="(select one)")),3,0)</f>
        <v>0</v>
      </c>
    </row>
    <row r="240" spans="1:69" ht="12.9" customHeight="1">
      <c r="A240" s="2" t="s">
        <v>599</v>
      </c>
      <c r="C240" s="2" t="s">
        <v>1325</v>
      </c>
      <c r="D240" s="4"/>
      <c r="L240" s="8"/>
      <c r="M240" s="8"/>
      <c r="N240" s="8"/>
      <c r="BB240" s="218" t="s">
        <v>906</v>
      </c>
      <c r="BG240" s="259">
        <f>IF(AND(AND($M$248="for profit",$M$256="for profit",$M$264="for profit")),3,0)</f>
        <v>0</v>
      </c>
    </row>
    <row r="241" spans="1:71" ht="12.9"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2.9" customHeight="1">
      <c r="A242" s="19"/>
      <c r="B242" s="4"/>
      <c r="C242" s="56" t="s">
        <v>483</v>
      </c>
      <c r="D242" s="4" t="s">
        <v>542</v>
      </c>
      <c r="E242" s="4"/>
      <c r="F242" s="4"/>
      <c r="G242" s="4"/>
      <c r="H242" s="4"/>
      <c r="I242" s="4"/>
      <c r="J242" s="4"/>
      <c r="K242" s="4"/>
      <c r="L242" s="4"/>
      <c r="M242" s="1535" t="s">
        <v>2662</v>
      </c>
      <c r="N242" s="1535"/>
      <c r="O242" s="1535"/>
      <c r="P242" s="1535"/>
      <c r="Q242" s="1535"/>
      <c r="R242" s="1535"/>
      <c r="S242" s="1535"/>
      <c r="T242" s="1535"/>
      <c r="U242" s="1535"/>
      <c r="V242" s="1535"/>
      <c r="W242" s="1535"/>
      <c r="X242" s="1535"/>
      <c r="Y242" s="1535"/>
      <c r="Z242" s="1535"/>
      <c r="AA242" s="1535"/>
      <c r="AB242" s="1535"/>
      <c r="AC242" s="1535"/>
      <c r="AD242" s="1535"/>
      <c r="AE242" s="1535"/>
      <c r="AF242" s="1535" t="s">
        <v>2708</v>
      </c>
      <c r="AG242" s="1535"/>
      <c r="AH242" s="1535"/>
      <c r="AI242" s="1535"/>
      <c r="AJ242" s="1535"/>
      <c r="AK242" s="1535"/>
      <c r="BO242" s="34"/>
      <c r="BP242" s="4"/>
      <c r="BQ242" s="4"/>
      <c r="BR242" s="4"/>
      <c r="BS242" s="4"/>
    </row>
    <row r="243" spans="1:71" ht="12.9" customHeight="1">
      <c r="A243" s="19"/>
      <c r="B243" s="4"/>
      <c r="C243" s="4"/>
      <c r="D243" s="4" t="s">
        <v>86</v>
      </c>
      <c r="E243" s="4"/>
      <c r="F243" s="4"/>
      <c r="G243" s="4"/>
      <c r="H243" s="4"/>
      <c r="I243" s="4"/>
      <c r="J243" s="4"/>
      <c r="K243" s="4"/>
      <c r="L243" s="4"/>
      <c r="M243" s="1532" t="s">
        <v>2663</v>
      </c>
      <c r="N243" s="1532"/>
      <c r="O243" s="1532"/>
      <c r="P243" s="1532"/>
      <c r="Q243" s="1532"/>
      <c r="R243" s="1532"/>
      <c r="S243" s="1532"/>
      <c r="T243" s="1532"/>
      <c r="U243" s="1532"/>
      <c r="V243" s="1532"/>
      <c r="W243" s="1532"/>
      <c r="X243" s="1532"/>
      <c r="Y243" s="1532"/>
      <c r="Z243" s="1532"/>
      <c r="AA243" s="1532"/>
      <c r="AB243" s="1532"/>
      <c r="AC243" s="1532"/>
      <c r="AD243" s="1532"/>
      <c r="AE243" s="1532"/>
      <c r="AF243" s="3" t="s">
        <v>1321</v>
      </c>
      <c r="AL243" s="4"/>
      <c r="AM243" s="4"/>
      <c r="AN243" s="4"/>
      <c r="AO243" s="4"/>
      <c r="AP243" s="4"/>
      <c r="AQ243" s="4"/>
      <c r="AR243" s="4"/>
      <c r="AS243" s="4"/>
      <c r="AT243" s="4"/>
      <c r="AU243" s="4"/>
      <c r="AV243" s="4"/>
      <c r="AW243" s="4"/>
      <c r="AX243" s="4"/>
      <c r="AY243" s="4"/>
      <c r="BG243">
        <f>SUM(BG226:BG241)</f>
        <v>2</v>
      </c>
    </row>
    <row r="244" spans="1:71" ht="12.9" customHeight="1">
      <c r="A244" s="19"/>
      <c r="B244" s="4"/>
      <c r="C244" s="4"/>
      <c r="D244" s="4" t="s">
        <v>590</v>
      </c>
      <c r="E244" s="4"/>
      <c r="M244" s="1532" t="s">
        <v>2664</v>
      </c>
      <c r="N244" s="1532"/>
      <c r="O244" s="1532"/>
      <c r="P244" s="1532"/>
      <c r="Q244" s="1532"/>
      <c r="R244" s="1532"/>
      <c r="S244" s="1532"/>
      <c r="T244" s="1532"/>
      <c r="V244" s="33" t="s">
        <v>87</v>
      </c>
      <c r="W244" s="1462" t="s">
        <v>2636</v>
      </c>
      <c r="X244" s="1462"/>
      <c r="Y244" s="4" t="s">
        <v>593</v>
      </c>
      <c r="AC244" s="1532">
        <v>92660</v>
      </c>
      <c r="AD244" s="1532"/>
      <c r="AE244" s="1532"/>
      <c r="AF244" s="3" t="s">
        <v>1322</v>
      </c>
      <c r="BB244" t="s">
        <v>309</v>
      </c>
      <c r="BG244">
        <v>1</v>
      </c>
      <c r="BH244" t="s">
        <v>544</v>
      </c>
    </row>
    <row r="245" spans="1:71" ht="12.9" customHeight="1">
      <c r="A245" s="19"/>
      <c r="B245" s="4"/>
      <c r="C245" s="4"/>
      <c r="D245" s="4" t="s">
        <v>88</v>
      </c>
      <c r="E245" s="4"/>
      <c r="F245" s="4"/>
      <c r="G245" s="4"/>
      <c r="H245" s="4"/>
      <c r="I245" s="4"/>
      <c r="J245" s="4"/>
      <c r="K245" s="4"/>
      <c r="L245" s="19"/>
      <c r="M245" s="1532" t="s">
        <v>2665</v>
      </c>
      <c r="N245" s="1532"/>
      <c r="O245" s="1532"/>
      <c r="P245" s="1532"/>
      <c r="Q245" s="1532"/>
      <c r="R245" s="1532"/>
      <c r="S245" s="1532"/>
      <c r="T245" s="1532"/>
      <c r="U245" s="1532"/>
      <c r="V245" s="1532"/>
      <c r="W245" s="1532"/>
      <c r="X245" s="1532"/>
      <c r="Y245" s="1532"/>
      <c r="Z245" s="1532"/>
      <c r="AA245" s="1532"/>
      <c r="AB245" s="1532"/>
      <c r="AC245" s="1532"/>
      <c r="AD245" s="1532"/>
      <c r="AE245" s="1532"/>
      <c r="AH245" s="1434">
        <v>1E-3</v>
      </c>
      <c r="AI245" s="1434"/>
      <c r="AJ245" s="1434"/>
      <c r="AK245" s="1434"/>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2.9" customHeight="1">
      <c r="A246" s="19"/>
      <c r="B246" s="4"/>
      <c r="C246" s="4"/>
      <c r="D246" s="4" t="s">
        <v>89</v>
      </c>
      <c r="E246" s="4"/>
      <c r="F246" s="4"/>
      <c r="M246" s="1436" t="s">
        <v>2666</v>
      </c>
      <c r="N246" s="1436"/>
      <c r="O246" s="1436"/>
      <c r="P246" s="1436"/>
      <c r="Q246" s="1436"/>
      <c r="R246" s="1436"/>
      <c r="S246" s="4" t="s">
        <v>208</v>
      </c>
      <c r="T246" s="4"/>
      <c r="U246" s="1462"/>
      <c r="V246" s="1462"/>
      <c r="W246" s="1462"/>
      <c r="X246" s="4" t="s">
        <v>90</v>
      </c>
      <c r="Z246" s="1436"/>
      <c r="AA246" s="1436"/>
      <c r="AB246" s="1436"/>
      <c r="AC246" s="1436"/>
      <c r="AD246" s="1436"/>
      <c r="AE246" s="1436"/>
      <c r="BB246" s="4" t="s">
        <v>174</v>
      </c>
      <c r="BG246">
        <v>3</v>
      </c>
      <c r="BH246" t="s">
        <v>546</v>
      </c>
      <c r="BN246" s="34"/>
    </row>
    <row r="247" spans="1:71" ht="12.9" customHeight="1">
      <c r="A247" s="19"/>
      <c r="B247" s="4"/>
      <c r="C247" s="4"/>
      <c r="D247" s="4" t="s">
        <v>91</v>
      </c>
      <c r="E247" s="4"/>
      <c r="F247" s="4"/>
      <c r="M247" s="1465" t="s">
        <v>2667</v>
      </c>
      <c r="N247" s="1465"/>
      <c r="O247" s="1465"/>
      <c r="P247" s="1465"/>
      <c r="Q247" s="1465"/>
      <c r="R247" s="1465"/>
      <c r="S247" s="1465"/>
      <c r="T247" s="1465"/>
      <c r="U247" s="1465"/>
      <c r="V247" s="1465"/>
      <c r="W247" s="1465"/>
      <c r="X247" s="1465"/>
      <c r="Y247" s="1465"/>
      <c r="Z247" s="1465"/>
      <c r="AA247" s="1465"/>
      <c r="AB247" s="1465"/>
      <c r="AC247" s="1465"/>
      <c r="AD247" s="1465"/>
      <c r="AE247" s="1465"/>
      <c r="AG247" s="4"/>
      <c r="AH247" s="4"/>
      <c r="AI247" s="4"/>
      <c r="AJ247" s="4"/>
      <c r="AK247" s="4"/>
      <c r="AL247" s="4"/>
      <c r="AM247" s="4"/>
      <c r="AN247" s="4"/>
      <c r="AO247" s="4"/>
      <c r="AP247" s="4"/>
      <c r="AQ247" s="4"/>
      <c r="AR247" s="4"/>
      <c r="AS247" s="4"/>
      <c r="AT247" s="4"/>
      <c r="AU247" s="4"/>
      <c r="AV247" s="4"/>
      <c r="AW247" s="4"/>
      <c r="AX247" s="4"/>
      <c r="AY247" s="4"/>
      <c r="BN247" s="34"/>
    </row>
    <row r="248" spans="1:71" ht="12.9" customHeight="1">
      <c r="A248" s="13"/>
      <c r="B248" s="4"/>
      <c r="C248" s="56"/>
      <c r="D248" s="4" t="s">
        <v>545</v>
      </c>
      <c r="E248" s="4"/>
      <c r="F248" s="4"/>
      <c r="G248" s="4"/>
      <c r="H248" s="4"/>
      <c r="I248" s="4"/>
      <c r="J248" s="4"/>
      <c r="K248" s="4"/>
      <c r="L248" s="4"/>
      <c r="M248" s="1367" t="s">
        <v>544</v>
      </c>
      <c r="N248" s="1367"/>
      <c r="O248" s="1367"/>
      <c r="P248" s="1367"/>
      <c r="Q248" s="1367"/>
      <c r="R248" s="1367"/>
      <c r="S248" s="1367"/>
      <c r="T248" s="1367"/>
      <c r="U248" s="218" t="s">
        <v>939</v>
      </c>
      <c r="V248" s="218"/>
      <c r="W248" s="218"/>
      <c r="X248" s="218"/>
      <c r="Y248" s="218"/>
      <c r="Z248" s="218"/>
      <c r="AA248" s="1531" t="s">
        <v>2668</v>
      </c>
      <c r="AB248" s="1531"/>
      <c r="AC248" s="1531"/>
      <c r="AD248" s="1531"/>
      <c r="AE248" s="1531"/>
      <c r="AF248" s="1531"/>
      <c r="AG248" s="1531"/>
      <c r="AH248" s="1531"/>
      <c r="AI248" s="1531"/>
      <c r="AJ248" s="1531"/>
      <c r="AK248" s="1531"/>
      <c r="BN248" s="34"/>
    </row>
    <row r="249" spans="1:71" ht="12.9" customHeight="1">
      <c r="A249" s="19"/>
      <c r="B249" s="4"/>
      <c r="C249" s="4"/>
      <c r="D249" s="4"/>
      <c r="E249" s="4"/>
      <c r="F249" s="4"/>
      <c r="G249" s="4"/>
      <c r="H249" s="4"/>
      <c r="I249" s="4"/>
      <c r="J249" s="4"/>
      <c r="K249" s="4"/>
      <c r="L249" s="4"/>
      <c r="AG249" s="4"/>
      <c r="AH249" s="4"/>
      <c r="AI249" s="4"/>
      <c r="AJ249" s="4"/>
      <c r="BN249" s="34"/>
    </row>
    <row r="250" spans="1:71" ht="12.9" customHeight="1">
      <c r="A250" s="2"/>
      <c r="B250" s="4"/>
      <c r="C250" s="56" t="s">
        <v>99</v>
      </c>
      <c r="D250" s="4" t="s">
        <v>995</v>
      </c>
      <c r="E250" s="4"/>
      <c r="F250" s="4"/>
      <c r="G250" s="4"/>
      <c r="H250" s="4"/>
      <c r="I250" s="4"/>
      <c r="J250" s="4"/>
      <c r="K250" s="4"/>
      <c r="L250" s="4"/>
      <c r="M250" s="1538" t="s">
        <v>2669</v>
      </c>
      <c r="N250" s="1535"/>
      <c r="O250" s="1535"/>
      <c r="P250" s="1535"/>
      <c r="Q250" s="1535"/>
      <c r="R250" s="1535"/>
      <c r="S250" s="1535"/>
      <c r="T250" s="1535"/>
      <c r="U250" s="1535"/>
      <c r="V250" s="1535"/>
      <c r="W250" s="1535"/>
      <c r="X250" s="1535"/>
      <c r="Y250" s="1535"/>
      <c r="Z250" s="1535"/>
      <c r="AA250" s="1535"/>
      <c r="AB250" s="1535"/>
      <c r="AC250" s="1535"/>
      <c r="AD250" s="1535"/>
      <c r="AE250" s="1535"/>
      <c r="AF250" s="1535" t="s">
        <v>2709</v>
      </c>
      <c r="AG250" s="1535"/>
      <c r="AH250" s="1535"/>
      <c r="AI250" s="1535"/>
      <c r="AJ250" s="1535"/>
      <c r="AK250" s="1535"/>
      <c r="BN250" s="34"/>
    </row>
    <row r="251" spans="1:71" ht="12.9" customHeight="1">
      <c r="A251" s="19"/>
      <c r="B251" s="4"/>
      <c r="C251" s="4"/>
      <c r="D251" s="4" t="s">
        <v>86</v>
      </c>
      <c r="E251" s="4"/>
      <c r="F251" s="4"/>
      <c r="G251" s="4"/>
      <c r="H251" s="4"/>
      <c r="I251" s="4"/>
      <c r="J251" s="4"/>
      <c r="K251" s="4"/>
      <c r="L251" s="4"/>
      <c r="M251" s="1532" t="s">
        <v>2642</v>
      </c>
      <c r="N251" s="1532"/>
      <c r="O251" s="1532"/>
      <c r="P251" s="1532"/>
      <c r="Q251" s="1532"/>
      <c r="R251" s="1532"/>
      <c r="S251" s="1532"/>
      <c r="T251" s="1532"/>
      <c r="U251" s="1532"/>
      <c r="V251" s="1532"/>
      <c r="W251" s="1532"/>
      <c r="X251" s="1532"/>
      <c r="Y251" s="1532"/>
      <c r="Z251" s="1532"/>
      <c r="AA251" s="1532"/>
      <c r="AB251" s="1532"/>
      <c r="AC251" s="1532"/>
      <c r="AD251" s="1532"/>
      <c r="AE251" s="1532"/>
      <c r="AF251" s="3" t="s">
        <v>1321</v>
      </c>
      <c r="AL251" s="4"/>
      <c r="AM251" s="4"/>
      <c r="AN251" s="4"/>
      <c r="AO251" s="4"/>
      <c r="AP251" s="4"/>
      <c r="AQ251" s="4"/>
      <c r="AR251" s="4"/>
      <c r="AS251" s="4"/>
      <c r="AT251" s="4"/>
      <c r="AU251" s="4"/>
      <c r="AV251" s="4"/>
      <c r="AW251" s="4"/>
      <c r="AX251" s="4"/>
      <c r="AY251" s="4"/>
      <c r="BN251" s="34"/>
    </row>
    <row r="252" spans="1:71" ht="12.9" customHeight="1">
      <c r="A252" s="19"/>
      <c r="B252" s="4"/>
      <c r="C252" s="4"/>
      <c r="D252" s="4" t="s">
        <v>590</v>
      </c>
      <c r="E252" s="4"/>
      <c r="M252" s="1532" t="s">
        <v>2661</v>
      </c>
      <c r="N252" s="1532"/>
      <c r="O252" s="1532"/>
      <c r="P252" s="1532"/>
      <c r="Q252" s="1532"/>
      <c r="R252" s="1532"/>
      <c r="S252" s="1532"/>
      <c r="T252" s="1532"/>
      <c r="V252" s="33" t="s">
        <v>87</v>
      </c>
      <c r="W252" s="1512" t="s">
        <v>2636</v>
      </c>
      <c r="X252" s="1462"/>
      <c r="Y252" s="4" t="s">
        <v>593</v>
      </c>
      <c r="AC252" s="1532">
        <v>92660</v>
      </c>
      <c r="AD252" s="1532"/>
      <c r="AE252" s="1532"/>
      <c r="AF252" s="3" t="s">
        <v>1322</v>
      </c>
      <c r="BN252" s="34"/>
    </row>
    <row r="253" spans="1:71" ht="12.9" customHeight="1">
      <c r="A253" s="19"/>
      <c r="B253" s="4"/>
      <c r="C253" s="4"/>
      <c r="D253" s="4" t="s">
        <v>88</v>
      </c>
      <c r="E253" s="4"/>
      <c r="F253" s="4"/>
      <c r="G253" s="4"/>
      <c r="H253" s="4"/>
      <c r="I253" s="4"/>
      <c r="J253" s="4"/>
      <c r="K253" s="4"/>
      <c r="L253" s="19"/>
      <c r="M253" s="1532" t="s">
        <v>2644</v>
      </c>
      <c r="N253" s="1532"/>
      <c r="O253" s="1532"/>
      <c r="P253" s="1532"/>
      <c r="Q253" s="1532"/>
      <c r="R253" s="1532"/>
      <c r="S253" s="1532"/>
      <c r="T253" s="1532"/>
      <c r="U253" s="1532"/>
      <c r="V253" s="1532"/>
      <c r="W253" s="1532"/>
      <c r="X253" s="1532"/>
      <c r="Y253" s="1532"/>
      <c r="Z253" s="1532"/>
      <c r="AA253" s="1532"/>
      <c r="AB253" s="1532"/>
      <c r="AC253" s="1532"/>
      <c r="AD253" s="1532"/>
      <c r="AE253" s="1532"/>
      <c r="AH253" s="1434">
        <v>8.9999999999999993E-3</v>
      </c>
      <c r="AI253" s="1434"/>
      <c r="AJ253" s="1434"/>
      <c r="AK253" s="1434"/>
      <c r="AL253" s="4"/>
      <c r="AM253" s="4"/>
      <c r="AN253" s="4"/>
      <c r="AO253" s="4"/>
      <c r="AP253" s="4"/>
      <c r="AQ253" s="4"/>
      <c r="AR253" s="4"/>
      <c r="AS253" s="4"/>
      <c r="AT253" s="4"/>
      <c r="AU253" s="4"/>
      <c r="AV253" s="4"/>
      <c r="AW253" s="4"/>
      <c r="AX253" s="4"/>
      <c r="AY253" s="4"/>
      <c r="BN253" s="34"/>
    </row>
    <row r="254" spans="1:71" ht="12.9" customHeight="1">
      <c r="A254" s="19"/>
      <c r="B254" s="4"/>
      <c r="C254" s="4"/>
      <c r="D254" s="4" t="s">
        <v>89</v>
      </c>
      <c r="E254" s="4"/>
      <c r="F254" s="4"/>
      <c r="M254" s="1436" t="s">
        <v>2645</v>
      </c>
      <c r="N254" s="1436"/>
      <c r="O254" s="1436"/>
      <c r="P254" s="1436"/>
      <c r="Q254" s="1436"/>
      <c r="R254" s="1436"/>
      <c r="S254" s="4" t="s">
        <v>208</v>
      </c>
      <c r="T254" s="4"/>
      <c r="U254" s="1462"/>
      <c r="V254" s="1462"/>
      <c r="W254" s="1462"/>
      <c r="X254" s="4" t="s">
        <v>90</v>
      </c>
      <c r="Z254" s="1436"/>
      <c r="AA254" s="1436"/>
      <c r="AB254" s="1436"/>
      <c r="AC254" s="1436"/>
      <c r="AD254" s="1436"/>
      <c r="AE254" s="1436"/>
    </row>
    <row r="255" spans="1:71" ht="12.9" customHeight="1">
      <c r="A255" s="19"/>
      <c r="B255" s="4"/>
      <c r="C255" s="4"/>
      <c r="D255" s="4" t="s">
        <v>91</v>
      </c>
      <c r="E255" s="4"/>
      <c r="F255" s="4"/>
      <c r="M255" s="1465" t="s">
        <v>2646</v>
      </c>
      <c r="N255" s="1465"/>
      <c r="O255" s="1465"/>
      <c r="P255" s="1465"/>
      <c r="Q255" s="1465"/>
      <c r="R255" s="1465"/>
      <c r="S255" s="1465"/>
      <c r="T255" s="1465"/>
      <c r="U255" s="1465"/>
      <c r="V255" s="1465"/>
      <c r="W255" s="1465"/>
      <c r="X255" s="1465"/>
      <c r="Y255" s="1465"/>
      <c r="Z255" s="1465"/>
      <c r="AA255" s="1465"/>
      <c r="AB255" s="1465"/>
      <c r="AC255" s="1465"/>
      <c r="AD255" s="1465"/>
      <c r="AE255" s="1465"/>
      <c r="AG255" s="4"/>
      <c r="AH255" s="4"/>
      <c r="AI255" s="4"/>
      <c r="AJ255" s="4"/>
      <c r="AK255" s="4"/>
      <c r="AL255" s="4"/>
      <c r="AM255" s="4"/>
      <c r="AN255" s="4"/>
      <c r="AO255" s="4"/>
      <c r="AP255" s="4"/>
      <c r="AQ255" s="4"/>
      <c r="AR255" s="4"/>
      <c r="AS255" s="4"/>
      <c r="AT255" s="4"/>
      <c r="AU255" s="4"/>
      <c r="AV255" s="4"/>
      <c r="AW255" s="4"/>
      <c r="AX255" s="4"/>
      <c r="AY255" s="4"/>
      <c r="BN255" s="34"/>
    </row>
    <row r="256" spans="1:71" ht="12.9" customHeight="1">
      <c r="A256" s="13"/>
      <c r="B256" s="4"/>
      <c r="C256" s="56"/>
      <c r="D256" s="4" t="s">
        <v>545</v>
      </c>
      <c r="E256" s="4"/>
      <c r="F256" s="4"/>
      <c r="G256" s="4"/>
      <c r="H256" s="4"/>
      <c r="I256" s="4"/>
      <c r="J256" s="4"/>
      <c r="K256" s="4"/>
      <c r="L256" s="4"/>
      <c r="M256" s="1367" t="s">
        <v>546</v>
      </c>
      <c r="N256" s="1367"/>
      <c r="O256" s="1367"/>
      <c r="P256" s="1367"/>
      <c r="Q256" s="1367"/>
      <c r="R256" s="1367"/>
      <c r="S256" s="1367"/>
      <c r="T256" s="1367"/>
      <c r="U256" s="218" t="s">
        <v>939</v>
      </c>
      <c r="V256" s="218"/>
      <c r="W256" s="218"/>
      <c r="X256" s="218"/>
      <c r="Y256" s="218"/>
      <c r="Z256" s="218"/>
      <c r="AA256" s="1531" t="s">
        <v>2670</v>
      </c>
      <c r="AB256" s="1531"/>
      <c r="AC256" s="1531"/>
      <c r="AD256" s="1531"/>
      <c r="AE256" s="1531"/>
      <c r="AF256" s="1531"/>
      <c r="AG256" s="1531"/>
      <c r="AH256" s="1531"/>
      <c r="AI256" s="1531"/>
      <c r="AJ256" s="1531"/>
      <c r="AK256" s="1531"/>
      <c r="AL256" s="3"/>
      <c r="AM256" s="3"/>
      <c r="AN256" s="3"/>
      <c r="AO256" s="3"/>
      <c r="AP256" s="3"/>
      <c r="AQ256" s="3"/>
      <c r="AR256" s="3"/>
      <c r="AS256" s="3"/>
      <c r="AT256" s="3"/>
      <c r="AU256" s="3"/>
      <c r="AV256" s="3"/>
      <c r="AW256" s="3"/>
      <c r="AX256" s="3"/>
      <c r="AY256" s="3"/>
      <c r="BN256" s="34"/>
    </row>
    <row r="257" spans="1:66" ht="12.9"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 customHeight="1">
      <c r="A258" s="13"/>
      <c r="B258" s="4"/>
      <c r="C258" s="56" t="s">
        <v>905</v>
      </c>
      <c r="D258" s="4" t="s">
        <v>542</v>
      </c>
      <c r="E258" s="4"/>
      <c r="F258" s="4"/>
      <c r="G258" s="4"/>
      <c r="H258" s="4"/>
      <c r="I258" s="4"/>
      <c r="J258" s="4"/>
      <c r="K258" s="4"/>
      <c r="L258" s="4"/>
      <c r="M258" s="1535"/>
      <c r="N258" s="1535"/>
      <c r="O258" s="1535"/>
      <c r="P258" s="1535"/>
      <c r="Q258" s="1535"/>
      <c r="R258" s="1535"/>
      <c r="S258" s="1535"/>
      <c r="T258" s="1535"/>
      <c r="U258" s="1535"/>
      <c r="V258" s="1535"/>
      <c r="W258" s="1535"/>
      <c r="X258" s="1535"/>
      <c r="Y258" s="1535"/>
      <c r="Z258" s="1535"/>
      <c r="AA258" s="1535"/>
      <c r="AB258" s="1535"/>
      <c r="AC258" s="1535"/>
      <c r="AD258" s="1535"/>
      <c r="AE258" s="1535"/>
      <c r="AF258" s="1535" t="s">
        <v>309</v>
      </c>
      <c r="AG258" s="1535"/>
      <c r="AH258" s="1535"/>
      <c r="AI258" s="1535"/>
      <c r="AJ258" s="1535"/>
      <c r="AK258" s="1535"/>
      <c r="AL258" s="3"/>
      <c r="AM258" s="3"/>
      <c r="AN258" s="3"/>
      <c r="AO258" s="3"/>
      <c r="AP258" s="3"/>
      <c r="AQ258" s="3"/>
      <c r="AR258" s="3"/>
      <c r="AS258" s="3"/>
      <c r="AT258" s="3"/>
      <c r="AU258" s="3"/>
      <c r="AV258" s="3"/>
      <c r="AW258" s="3"/>
      <c r="AX258" s="3"/>
      <c r="AY258" s="3"/>
      <c r="BN258" s="34"/>
    </row>
    <row r="259" spans="1:66" ht="12.9" customHeight="1">
      <c r="A259" s="13"/>
      <c r="B259" s="4"/>
      <c r="C259" s="4"/>
      <c r="D259" s="4" t="s">
        <v>86</v>
      </c>
      <c r="E259" s="4"/>
      <c r="F259" s="4"/>
      <c r="G259" s="4"/>
      <c r="H259" s="4"/>
      <c r="I259" s="4"/>
      <c r="J259" s="4"/>
      <c r="K259" s="4"/>
      <c r="L259" s="4"/>
      <c r="M259" s="1532"/>
      <c r="N259" s="1532"/>
      <c r="O259" s="1532"/>
      <c r="P259" s="1532"/>
      <c r="Q259" s="1532"/>
      <c r="R259" s="1532"/>
      <c r="S259" s="1532"/>
      <c r="T259" s="1532"/>
      <c r="U259" s="1532"/>
      <c r="V259" s="1532"/>
      <c r="W259" s="1532"/>
      <c r="X259" s="1532"/>
      <c r="Y259" s="1532"/>
      <c r="Z259" s="1532"/>
      <c r="AA259" s="1532"/>
      <c r="AB259" s="1532"/>
      <c r="AC259" s="1532"/>
      <c r="AD259" s="1532"/>
      <c r="AE259" s="1532"/>
      <c r="AF259" s="3" t="s">
        <v>1321</v>
      </c>
      <c r="AL259" s="3"/>
      <c r="AM259" s="3"/>
      <c r="AN259" s="3"/>
      <c r="AO259" s="3"/>
      <c r="AP259" s="3"/>
      <c r="AQ259" s="3"/>
      <c r="AR259" s="3"/>
      <c r="AS259" s="3"/>
      <c r="AT259" s="3"/>
      <c r="AU259" s="3"/>
      <c r="AV259" s="3"/>
      <c r="AW259" s="3"/>
      <c r="AX259" s="3"/>
      <c r="AY259" s="3"/>
      <c r="BN259" s="34"/>
    </row>
    <row r="260" spans="1:66" ht="12.9" customHeight="1">
      <c r="A260" s="13"/>
      <c r="B260" s="4"/>
      <c r="C260" s="4"/>
      <c r="D260" s="4" t="s">
        <v>590</v>
      </c>
      <c r="E260" s="4"/>
      <c r="M260" s="1532"/>
      <c r="N260" s="1532"/>
      <c r="O260" s="1532"/>
      <c r="P260" s="1532"/>
      <c r="Q260" s="1532"/>
      <c r="R260" s="1532"/>
      <c r="S260" s="1532"/>
      <c r="T260" s="1532"/>
      <c r="V260" s="33" t="s">
        <v>87</v>
      </c>
      <c r="W260" s="1462"/>
      <c r="X260" s="1462"/>
      <c r="Y260" s="4" t="s">
        <v>593</v>
      </c>
      <c r="AC260" s="1532"/>
      <c r="AD260" s="1532"/>
      <c r="AE260" s="1532"/>
      <c r="AF260" s="3" t="s">
        <v>1322</v>
      </c>
      <c r="AL260" s="3"/>
      <c r="AM260" s="3"/>
      <c r="AN260" s="3"/>
      <c r="AO260" s="3"/>
      <c r="AP260" s="3"/>
      <c r="AQ260" s="3"/>
      <c r="AR260" s="3"/>
      <c r="AS260" s="3"/>
      <c r="AT260" s="3"/>
      <c r="AU260" s="3"/>
      <c r="AV260" s="3"/>
      <c r="AW260" s="3"/>
      <c r="AX260" s="3"/>
      <c r="AY260" s="3"/>
      <c r="BN260" s="34"/>
    </row>
    <row r="261" spans="1:66" ht="12.9" customHeight="1">
      <c r="A261" s="13"/>
      <c r="B261" s="4"/>
      <c r="C261" s="4"/>
      <c r="D261" s="4" t="s">
        <v>88</v>
      </c>
      <c r="E261" s="4"/>
      <c r="F261" s="4"/>
      <c r="G261" s="4"/>
      <c r="H261" s="4"/>
      <c r="I261" s="4"/>
      <c r="J261" s="4"/>
      <c r="K261" s="4"/>
      <c r="L261" s="19"/>
      <c r="M261" s="1532"/>
      <c r="N261" s="1532"/>
      <c r="O261" s="1532"/>
      <c r="P261" s="1532"/>
      <c r="Q261" s="1532"/>
      <c r="R261" s="1532"/>
      <c r="S261" s="1532"/>
      <c r="T261" s="1532"/>
      <c r="U261" s="1532"/>
      <c r="V261" s="1532"/>
      <c r="W261" s="1532"/>
      <c r="X261" s="1532"/>
      <c r="Y261" s="1532"/>
      <c r="Z261" s="1532"/>
      <c r="AA261" s="1532"/>
      <c r="AB261" s="1532"/>
      <c r="AC261" s="1532"/>
      <c r="AD261" s="1532"/>
      <c r="AE261" s="1532"/>
      <c r="AH261" s="1434"/>
      <c r="AI261" s="1434"/>
      <c r="AJ261" s="1434"/>
      <c r="AK261" s="1434"/>
      <c r="AL261" s="3"/>
      <c r="AM261" s="3"/>
      <c r="AN261" s="3"/>
      <c r="AO261" s="3"/>
      <c r="AP261" s="3"/>
      <c r="AQ261" s="3"/>
      <c r="AR261" s="3"/>
      <c r="AS261" s="3"/>
      <c r="AT261" s="3"/>
      <c r="AU261" s="3"/>
      <c r="AV261" s="3"/>
      <c r="AW261" s="3"/>
      <c r="AX261" s="3"/>
      <c r="AY261" s="3"/>
      <c r="BN261" s="34"/>
    </row>
    <row r="262" spans="1:66" ht="12.9" customHeight="1">
      <c r="A262" s="13"/>
      <c r="B262" s="4"/>
      <c r="C262" s="4"/>
      <c r="D262" s="4" t="s">
        <v>89</v>
      </c>
      <c r="E262" s="4"/>
      <c r="F262" s="4"/>
      <c r="M262" s="1436"/>
      <c r="N262" s="1436"/>
      <c r="O262" s="1436"/>
      <c r="P262" s="1436"/>
      <c r="Q262" s="1436"/>
      <c r="R262" s="1436"/>
      <c r="S262" s="4" t="s">
        <v>208</v>
      </c>
      <c r="T262" s="4"/>
      <c r="U262" s="1462"/>
      <c r="V262" s="1462"/>
      <c r="W262" s="1462"/>
      <c r="X262" s="4" t="s">
        <v>90</v>
      </c>
      <c r="Z262" s="1436"/>
      <c r="AA262" s="1436"/>
      <c r="AB262" s="1436"/>
      <c r="AC262" s="1436"/>
      <c r="AD262" s="1436"/>
      <c r="AE262" s="1436"/>
      <c r="AL262" s="3"/>
      <c r="AM262" s="3"/>
      <c r="AN262" s="3"/>
      <c r="AO262" s="3"/>
      <c r="AP262" s="3"/>
      <c r="AQ262" s="3"/>
      <c r="AR262" s="3"/>
      <c r="AS262" s="3"/>
      <c r="AT262" s="3"/>
      <c r="AU262" s="3"/>
      <c r="AV262" s="3"/>
      <c r="AW262" s="3"/>
      <c r="AX262" s="3"/>
      <c r="AY262" s="3"/>
      <c r="BN262" s="34"/>
    </row>
    <row r="263" spans="1:66" ht="12.9" customHeight="1">
      <c r="A263" s="13"/>
      <c r="B263" s="4"/>
      <c r="C263" s="4"/>
      <c r="D263" s="4" t="s">
        <v>91</v>
      </c>
      <c r="E263" s="4"/>
      <c r="F263" s="4"/>
      <c r="M263" s="1465"/>
      <c r="N263" s="1465"/>
      <c r="O263" s="1465"/>
      <c r="P263" s="1465"/>
      <c r="Q263" s="1465"/>
      <c r="R263" s="1465"/>
      <c r="S263" s="1465"/>
      <c r="T263" s="1465"/>
      <c r="U263" s="1465"/>
      <c r="V263" s="1465"/>
      <c r="W263" s="1465"/>
      <c r="X263" s="1465"/>
      <c r="Y263" s="1465"/>
      <c r="Z263" s="1465"/>
      <c r="AA263" s="1540"/>
      <c r="AB263" s="1540"/>
      <c r="AC263" s="1540"/>
      <c r="AD263" s="1540"/>
      <c r="AE263" s="1540"/>
      <c r="AG263" s="4"/>
      <c r="AH263" s="4"/>
      <c r="AI263" s="4"/>
      <c r="AJ263" s="4"/>
      <c r="AK263" s="4"/>
      <c r="AL263" s="3"/>
      <c r="AM263" s="3"/>
      <c r="AN263" s="3"/>
      <c r="AO263" s="3"/>
      <c r="AP263" s="3"/>
      <c r="AQ263" s="3"/>
      <c r="AR263" s="3"/>
      <c r="AS263" s="3"/>
      <c r="AT263" s="3"/>
      <c r="AU263" s="3"/>
      <c r="AV263" s="3"/>
      <c r="AW263" s="3"/>
      <c r="AX263" s="3"/>
      <c r="AY263" s="3"/>
      <c r="BN263" s="34"/>
    </row>
    <row r="264" spans="1:66" ht="12.9" customHeight="1">
      <c r="A264" s="13"/>
      <c r="B264" s="4"/>
      <c r="C264" s="56"/>
      <c r="D264" s="4" t="s">
        <v>545</v>
      </c>
      <c r="E264" s="4"/>
      <c r="F264" s="4"/>
      <c r="G264" s="4"/>
      <c r="H264" s="4"/>
      <c r="I264" s="4"/>
      <c r="J264" s="4"/>
      <c r="K264" s="4"/>
      <c r="L264" s="4"/>
      <c r="M264" s="1367" t="s">
        <v>309</v>
      </c>
      <c r="N264" s="1367"/>
      <c r="O264" s="1367"/>
      <c r="P264" s="1367"/>
      <c r="Q264" s="1367"/>
      <c r="R264" s="1367"/>
      <c r="S264" s="1367"/>
      <c r="T264" s="1367"/>
      <c r="U264" s="218" t="s">
        <v>939</v>
      </c>
      <c r="V264" s="218"/>
      <c r="W264" s="218"/>
      <c r="X264" s="218"/>
      <c r="Y264" s="218"/>
      <c r="Z264" s="218"/>
      <c r="AA264" s="1537"/>
      <c r="AB264" s="1537"/>
      <c r="AC264" s="1537"/>
      <c r="AD264" s="1537"/>
      <c r="AE264" s="1537"/>
      <c r="AF264" s="1537"/>
      <c r="AG264" s="1537"/>
      <c r="AH264" s="1537"/>
      <c r="AI264" s="1537"/>
      <c r="AJ264" s="1537"/>
      <c r="AK264" s="1537"/>
      <c r="AL264" s="3"/>
      <c r="AM264" s="3"/>
      <c r="AN264" s="3"/>
      <c r="AO264" s="3"/>
      <c r="AP264" s="3"/>
      <c r="AQ264" s="3"/>
      <c r="AR264" s="3"/>
      <c r="AS264" s="3"/>
      <c r="AT264" s="3"/>
      <c r="AU264" s="3"/>
      <c r="AV264" s="3"/>
      <c r="AW264" s="3"/>
      <c r="AX264" s="3"/>
      <c r="AY264" s="3"/>
      <c r="BN264" s="34"/>
    </row>
    <row r="265" spans="1:66" ht="12.9"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 customHeight="1">
      <c r="A266" s="57" t="s">
        <v>600</v>
      </c>
      <c r="B266" s="4"/>
      <c r="C266" s="2" t="s">
        <v>297</v>
      </c>
      <c r="D266" s="4"/>
      <c r="E266" s="4"/>
      <c r="F266" s="4"/>
      <c r="G266" s="4"/>
      <c r="H266" s="4"/>
      <c r="I266" s="4"/>
      <c r="J266" s="4"/>
      <c r="K266" s="4"/>
      <c r="L266" s="4"/>
      <c r="M266" s="35"/>
      <c r="N266" s="35"/>
      <c r="O266" s="35"/>
      <c r="P266" s="35"/>
      <c r="Q266" s="35"/>
      <c r="T266" s="1539" t="str">
        <f>BO245</f>
        <v>Joint Venture</v>
      </c>
      <c r="U266" s="1539"/>
      <c r="V266" s="1539"/>
      <c r="W266" s="1539"/>
      <c r="X266" s="1539"/>
      <c r="Z266" s="331" t="s">
        <v>994</v>
      </c>
      <c r="AA266" s="332"/>
      <c r="AB266" s="332"/>
      <c r="AC266" s="332"/>
      <c r="AD266" s="105"/>
      <c r="AE266" s="105"/>
      <c r="AF266" s="105"/>
      <c r="AG266" s="105"/>
      <c r="AH266" s="105"/>
      <c r="AI266" s="105"/>
      <c r="AJ266" s="105"/>
      <c r="AK266" s="333"/>
      <c r="AL266" s="58"/>
      <c r="BN266" s="34"/>
    </row>
    <row r="267" spans="1:66" ht="12.9"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2.9" customHeight="1">
      <c r="A269" s="4"/>
      <c r="B269" s="36">
        <v>0</v>
      </c>
      <c r="D269" s="1510" t="s">
        <v>174</v>
      </c>
      <c r="E269" s="1532"/>
      <c r="F269" s="1532"/>
      <c r="G269" s="1532"/>
      <c r="H269" s="1532"/>
      <c r="J269" t="s">
        <v>281</v>
      </c>
      <c r="X269" s="1536">
        <v>45261</v>
      </c>
      <c r="Y269" s="1536"/>
      <c r="Z269" s="1536"/>
      <c r="AA269" s="1536"/>
      <c r="AB269" s="1536"/>
      <c r="AC269" s="1536"/>
      <c r="BN269" s="34"/>
    </row>
    <row r="270" spans="1:66" ht="12.9"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 customHeight="1">
      <c r="D273" s="4" t="s">
        <v>298</v>
      </c>
      <c r="E273" s="4"/>
      <c r="F273" s="4"/>
      <c r="G273" s="4"/>
      <c r="H273" s="4"/>
      <c r="I273" s="4"/>
      <c r="J273" s="4"/>
      <c r="K273" s="4"/>
      <c r="L273" s="1535" t="s">
        <v>2634</v>
      </c>
      <c r="M273" s="1535"/>
      <c r="N273" s="1535"/>
      <c r="O273" s="1535"/>
      <c r="P273" s="1535"/>
      <c r="Q273" s="1535"/>
      <c r="R273" s="1535"/>
      <c r="S273" s="1535"/>
      <c r="T273" s="1535"/>
      <c r="U273" s="1535"/>
      <c r="V273" s="1535"/>
      <c r="W273" s="1535"/>
      <c r="X273" s="1535"/>
      <c r="Y273" s="1535"/>
      <c r="Z273" s="1535"/>
      <c r="AA273" s="1535"/>
      <c r="AB273" s="1535"/>
      <c r="AC273" s="1535"/>
      <c r="AD273" s="1535"/>
      <c r="AE273" s="1535"/>
      <c r="AF273" s="1535"/>
      <c r="AG273" s="1535"/>
      <c r="AH273" s="1535"/>
      <c r="AI273" s="1535"/>
      <c r="AJ273" s="1535"/>
      <c r="AK273" s="3"/>
      <c r="AL273" s="3"/>
      <c r="AM273" s="3"/>
      <c r="AN273" s="3"/>
      <c r="AO273" s="3"/>
      <c r="AP273" s="3"/>
      <c r="AQ273" s="3"/>
      <c r="AR273" s="3"/>
      <c r="AS273" s="3"/>
      <c r="AT273" s="3"/>
      <c r="AU273" s="3"/>
      <c r="AV273" s="3"/>
      <c r="AW273" s="3"/>
      <c r="AX273" s="3"/>
      <c r="AY273" s="3"/>
      <c r="BN273" s="34"/>
    </row>
    <row r="274" spans="1:66" ht="12.9" customHeight="1">
      <c r="D274" s="4" t="s">
        <v>86</v>
      </c>
      <c r="E274" s="4"/>
      <c r="F274" s="4"/>
      <c r="G274" s="4"/>
      <c r="H274" s="4"/>
      <c r="I274" s="4"/>
      <c r="J274" s="4"/>
      <c r="K274" s="4"/>
      <c r="L274" s="1532" t="s">
        <v>2635</v>
      </c>
      <c r="M274" s="1532"/>
      <c r="N274" s="1532"/>
      <c r="O274" s="1532"/>
      <c r="P274" s="1532"/>
      <c r="Q274" s="1532"/>
      <c r="R274" s="1532"/>
      <c r="S274" s="1532"/>
      <c r="T274" s="1532"/>
      <c r="U274" s="1532"/>
      <c r="V274" s="1532"/>
      <c r="W274" s="1532"/>
      <c r="X274" s="1532"/>
      <c r="Y274" s="1532"/>
      <c r="Z274" s="1532"/>
      <c r="AA274" s="1532"/>
      <c r="AB274" s="1532"/>
      <c r="AC274" s="1532"/>
      <c r="AD274" s="1532"/>
      <c r="AK274" s="3"/>
      <c r="AL274" s="3"/>
      <c r="AM274" s="3"/>
      <c r="AN274" s="3"/>
      <c r="AO274" s="3"/>
      <c r="AP274" s="3"/>
      <c r="AQ274" s="3"/>
      <c r="AR274" s="3"/>
      <c r="AS274" s="3"/>
      <c r="AT274" s="3"/>
      <c r="AU274" s="3"/>
      <c r="AV274" s="3"/>
      <c r="AW274" s="3"/>
      <c r="AX274" s="3"/>
      <c r="AY274" s="3"/>
      <c r="BN274" s="34"/>
    </row>
    <row r="275" spans="1:66" ht="12.9" customHeight="1">
      <c r="D275" s="4" t="s">
        <v>590</v>
      </c>
      <c r="E275" s="4"/>
      <c r="L275" s="1532" t="s">
        <v>68</v>
      </c>
      <c r="M275" s="1532"/>
      <c r="N275" s="1532"/>
      <c r="O275" s="1532"/>
      <c r="P275" s="1532"/>
      <c r="Q275" s="1532"/>
      <c r="R275" s="1532"/>
      <c r="S275" s="1532"/>
      <c r="U275" s="33" t="s">
        <v>87</v>
      </c>
      <c r="V275" s="1462" t="s">
        <v>2636</v>
      </c>
      <c r="W275" s="1462"/>
      <c r="X275" s="4" t="s">
        <v>593</v>
      </c>
      <c r="AB275" s="1532">
        <v>95811</v>
      </c>
      <c r="AC275" s="1532"/>
      <c r="AD275" s="1532"/>
      <c r="AK275" s="3"/>
      <c r="AL275" s="3"/>
      <c r="AM275" s="3"/>
      <c r="AN275" s="3"/>
      <c r="AO275" s="3"/>
      <c r="AP275" s="3"/>
      <c r="AQ275" s="3"/>
      <c r="AR275" s="3"/>
      <c r="AS275" s="3"/>
      <c r="AT275" s="3"/>
      <c r="AU275" s="3"/>
      <c r="AV275" s="3"/>
      <c r="AW275" s="3"/>
      <c r="AX275" s="3"/>
      <c r="AY275" s="3"/>
      <c r="BN275" s="34"/>
    </row>
    <row r="276" spans="1:66" ht="12.9" customHeight="1">
      <c r="D276" s="4" t="s">
        <v>88</v>
      </c>
      <c r="E276" s="4"/>
      <c r="F276" s="4"/>
      <c r="G276" s="4"/>
      <c r="H276" s="4"/>
      <c r="I276" s="4"/>
      <c r="J276" s="4"/>
      <c r="K276" s="19"/>
      <c r="L276" s="1532" t="s">
        <v>2637</v>
      </c>
      <c r="M276" s="1532"/>
      <c r="N276" s="1532"/>
      <c r="O276" s="1532"/>
      <c r="P276" s="1532"/>
      <c r="Q276" s="1532"/>
      <c r="R276" s="1532"/>
      <c r="S276" s="1532"/>
      <c r="T276" s="1532"/>
      <c r="U276" s="1532"/>
      <c r="V276" s="1532"/>
      <c r="W276" s="1532"/>
      <c r="X276" s="1532"/>
      <c r="Y276" s="1532"/>
      <c r="Z276" s="1532"/>
      <c r="AA276" s="1532"/>
      <c r="AB276" s="1532"/>
      <c r="AC276" s="1532"/>
      <c r="AD276" s="1532"/>
      <c r="AI276" s="4"/>
      <c r="AJ276" s="4"/>
      <c r="AK276" s="3"/>
      <c r="AL276" s="3"/>
      <c r="AM276" s="3"/>
      <c r="AN276" s="3"/>
      <c r="AO276" s="3"/>
      <c r="AP276" s="3"/>
      <c r="AQ276" s="3"/>
      <c r="AR276" s="3"/>
      <c r="AS276" s="3"/>
      <c r="AT276" s="3"/>
      <c r="AU276" s="3"/>
      <c r="AV276" s="3"/>
      <c r="AW276" s="3"/>
      <c r="AX276" s="3"/>
      <c r="AY276" s="3"/>
      <c r="BN276" s="34"/>
    </row>
    <row r="277" spans="1:66" ht="12.9" customHeight="1">
      <c r="D277" s="4" t="s">
        <v>89</v>
      </c>
      <c r="E277" s="4"/>
      <c r="F277" s="4"/>
      <c r="L277" s="1436" t="s">
        <v>2638</v>
      </c>
      <c r="M277" s="1436"/>
      <c r="N277" s="1436"/>
      <c r="O277" s="1436"/>
      <c r="P277" s="1436"/>
      <c r="Q277" s="1436"/>
      <c r="R277" s="4" t="s">
        <v>208</v>
      </c>
      <c r="S277" s="4"/>
      <c r="T277" s="1462"/>
      <c r="U277" s="1462"/>
      <c r="V277" s="1462"/>
      <c r="W277" s="4" t="s">
        <v>90</v>
      </c>
      <c r="Y277" s="1436"/>
      <c r="Z277" s="1436"/>
      <c r="AA277" s="1436"/>
      <c r="AB277" s="1436"/>
      <c r="AC277" s="1436"/>
      <c r="AD277" s="1436"/>
      <c r="BN277" s="34"/>
    </row>
    <row r="278" spans="1:66" ht="12.9" customHeight="1">
      <c r="D278" s="4" t="s">
        <v>91</v>
      </c>
      <c r="E278" s="4"/>
      <c r="F278" s="4"/>
      <c r="L278" s="1465" t="s">
        <v>2639</v>
      </c>
      <c r="M278" s="1465"/>
      <c r="N278" s="1465"/>
      <c r="O278" s="1465"/>
      <c r="P278" s="1465"/>
      <c r="Q278" s="1465"/>
      <c r="R278" s="1465"/>
      <c r="S278" s="1465"/>
      <c r="T278" s="1465"/>
      <c r="U278" s="1465"/>
      <c r="V278" s="1465"/>
      <c r="W278" s="1465"/>
      <c r="X278" s="1465"/>
      <c r="Y278" s="1465"/>
      <c r="Z278" s="1465"/>
      <c r="AA278" s="1465"/>
      <c r="AB278" s="1465"/>
      <c r="AC278" s="1465"/>
      <c r="AD278" s="1465"/>
      <c r="AF278" s="4"/>
      <c r="AG278" s="4"/>
      <c r="AH278" s="4"/>
      <c r="AI278" s="4"/>
      <c r="AJ278" s="4"/>
      <c r="BN278" s="34"/>
    </row>
    <row r="279" spans="1:66" ht="12.9" customHeight="1">
      <c r="D279" s="3" t="s">
        <v>633</v>
      </c>
      <c r="E279" s="3"/>
      <c r="F279" s="3"/>
      <c r="G279" s="3"/>
      <c r="H279" s="3"/>
      <c r="I279" s="3"/>
      <c r="L279" s="1512" t="s">
        <v>2640</v>
      </c>
      <c r="M279" s="1512"/>
      <c r="N279" s="1512"/>
      <c r="O279" s="1512"/>
      <c r="P279" s="1512"/>
      <c r="Q279" s="1512"/>
      <c r="R279" s="1512"/>
      <c r="S279" s="1512"/>
      <c r="T279" s="1512"/>
      <c r="U279" s="1512"/>
      <c r="V279" s="1512"/>
      <c r="W279" s="1512"/>
      <c r="X279" s="1512"/>
      <c r="Y279" s="1512"/>
      <c r="Z279" s="1512"/>
      <c r="AA279" s="1512"/>
      <c r="AB279" s="1512"/>
      <c r="AC279" s="1512"/>
      <c r="AD279" s="1512"/>
      <c r="AK279" s="3"/>
      <c r="AL279" s="3"/>
      <c r="AM279" s="3"/>
      <c r="AN279" s="3"/>
      <c r="AO279" s="3"/>
      <c r="AP279" s="3"/>
      <c r="AQ279" s="3"/>
      <c r="AR279" s="3"/>
      <c r="AS279" s="3"/>
      <c r="AT279" s="3"/>
      <c r="AU279" s="3"/>
      <c r="AV279" s="3"/>
      <c r="AW279" s="3"/>
      <c r="AX279" s="3"/>
      <c r="AY279" s="3"/>
      <c r="BN279" s="34"/>
    </row>
    <row r="280" spans="1:66" ht="12.9" customHeight="1">
      <c r="L280" s="22" t="s">
        <v>634</v>
      </c>
      <c r="BN280" s="34"/>
    </row>
    <row r="281" spans="1:66" ht="12.9" customHeight="1">
      <c r="A281" s="1440" t="s">
        <v>551</v>
      </c>
      <c r="B281" s="1440"/>
      <c r="C281" s="1440"/>
      <c r="D281" s="1440"/>
      <c r="E281" s="1440"/>
      <c r="F281" s="1440"/>
      <c r="G281" s="1440"/>
      <c r="H281" s="1440"/>
      <c r="I281" s="1440"/>
      <c r="J281" s="1440"/>
      <c r="K281" s="1440"/>
      <c r="L281" s="1440"/>
      <c r="M281" s="1440"/>
      <c r="N281" s="1440"/>
      <c r="O281" s="1440"/>
      <c r="P281" s="1440"/>
      <c r="Q281" s="1440"/>
      <c r="R281" s="1440"/>
      <c r="S281" s="1440"/>
      <c r="T281" s="1440"/>
      <c r="U281" s="1440"/>
      <c r="V281" s="1440"/>
      <c r="W281" s="1440"/>
      <c r="X281" s="1440"/>
      <c r="Y281" s="1440"/>
      <c r="Z281" s="1440"/>
      <c r="AA281" s="1440"/>
      <c r="AB281" s="1440"/>
      <c r="AC281" s="1440"/>
      <c r="AD281" s="1440"/>
      <c r="AE281" s="1440"/>
      <c r="AF281" s="1440"/>
      <c r="AG281" s="1440"/>
      <c r="AH281" s="1440"/>
      <c r="AI281" s="1440"/>
      <c r="AJ281" s="1440"/>
      <c r="AK281" s="1440"/>
      <c r="AL281" s="1440"/>
      <c r="AM281" s="95"/>
      <c r="AN281" s="95"/>
      <c r="AO281" s="95"/>
      <c r="AP281" s="95"/>
      <c r="AQ281" s="95"/>
      <c r="AR281" s="95"/>
      <c r="AS281" s="95"/>
      <c r="AT281" s="95"/>
      <c r="AU281" s="95"/>
      <c r="AV281" s="95"/>
      <c r="AW281" s="95"/>
      <c r="AX281" s="95"/>
      <c r="AY281" s="95"/>
      <c r="BN281" s="34"/>
    </row>
    <row r="282" spans="1:66" ht="12.9" customHeight="1" thickBot="1">
      <c r="A282" s="1441"/>
      <c r="B282" s="1441"/>
      <c r="C282" s="1441"/>
      <c r="D282" s="1441"/>
      <c r="E282" s="1441"/>
      <c r="F282" s="1441"/>
      <c r="G282" s="1441"/>
      <c r="H282" s="1441"/>
      <c r="I282" s="1441"/>
      <c r="J282" s="1441"/>
      <c r="K282" s="1441"/>
      <c r="L282" s="1441"/>
      <c r="M282" s="1441"/>
      <c r="N282" s="1441"/>
      <c r="O282" s="1441"/>
      <c r="P282" s="1441"/>
      <c r="Q282" s="1441"/>
      <c r="R282" s="1441"/>
      <c r="S282" s="1441"/>
      <c r="T282" s="1441"/>
      <c r="U282" s="1441"/>
      <c r="V282" s="1441"/>
      <c r="W282" s="1441"/>
      <c r="X282" s="1441"/>
      <c r="Y282" s="1441"/>
      <c r="Z282" s="1441"/>
      <c r="AA282" s="1441"/>
      <c r="AB282" s="1441"/>
      <c r="AC282" s="1441"/>
      <c r="AD282" s="1441"/>
      <c r="AE282" s="1441"/>
      <c r="AF282" s="1441"/>
      <c r="AG282" s="1441"/>
      <c r="AH282" s="1441"/>
      <c r="AI282" s="1441"/>
      <c r="AJ282" s="1441"/>
      <c r="AK282" s="1441"/>
      <c r="AL282" s="1441"/>
      <c r="AM282" s="95"/>
      <c r="AN282" s="95"/>
      <c r="AO282" s="95"/>
      <c r="AP282" s="95"/>
      <c r="AQ282" s="95"/>
      <c r="AR282" s="95"/>
      <c r="AS282" s="95"/>
      <c r="AT282" s="95"/>
      <c r="AU282" s="95"/>
      <c r="AV282" s="95"/>
      <c r="AW282" s="95"/>
      <c r="AX282" s="95"/>
      <c r="AY282" s="95"/>
      <c r="BN282" s="34"/>
    </row>
    <row r="283" spans="1:66" ht="12.9"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 customHeight="1">
      <c r="B286" s="3" t="s">
        <v>636</v>
      </c>
      <c r="C286" s="3"/>
      <c r="D286" s="3"/>
      <c r="E286" s="3"/>
      <c r="F286" s="3"/>
      <c r="H286" s="1395" t="s">
        <v>2641</v>
      </c>
      <c r="I286" s="1395"/>
      <c r="J286" s="1395"/>
      <c r="K286" s="1395"/>
      <c r="L286" s="1395"/>
      <c r="M286" s="1395"/>
      <c r="N286" s="1395"/>
      <c r="O286" s="1395"/>
      <c r="P286" s="1395"/>
      <c r="Q286" s="1395"/>
      <c r="R286" s="1395"/>
      <c r="T286" s="3" t="s">
        <v>577</v>
      </c>
      <c r="V286" s="3"/>
      <c r="W286" s="3"/>
      <c r="X286" s="3"/>
      <c r="Y286" s="3"/>
      <c r="AA286" s="1395" t="s">
        <v>2647</v>
      </c>
      <c r="AB286" s="1395"/>
      <c r="AC286" s="1395"/>
      <c r="AD286" s="1395"/>
      <c r="AE286" s="1395"/>
      <c r="AF286" s="1395"/>
      <c r="AG286" s="1395"/>
      <c r="AH286" s="1395"/>
      <c r="AI286" s="1395"/>
      <c r="AJ286" s="1395"/>
      <c r="AK286" s="1395"/>
      <c r="BN286" s="34"/>
    </row>
    <row r="287" spans="1:66" ht="12.9" customHeight="1">
      <c r="B287" s="3" t="s">
        <v>481</v>
      </c>
      <c r="C287" s="3"/>
      <c r="D287" s="3"/>
      <c r="E287" s="3"/>
      <c r="F287" s="3"/>
      <c r="H287" s="1367" t="s">
        <v>2642</v>
      </c>
      <c r="I287" s="1367"/>
      <c r="J287" s="1367"/>
      <c r="K287" s="1367"/>
      <c r="L287" s="1367"/>
      <c r="M287" s="1367"/>
      <c r="N287" s="1367"/>
      <c r="O287" s="1367"/>
      <c r="P287" s="1367"/>
      <c r="Q287" s="1367"/>
      <c r="R287" s="1367"/>
      <c r="T287" s="3" t="s">
        <v>481</v>
      </c>
      <c r="V287" s="3"/>
      <c r="W287" s="3"/>
      <c r="X287" s="3"/>
      <c r="Y287" s="3"/>
      <c r="AA287" s="1367" t="s">
        <v>2648</v>
      </c>
      <c r="AB287" s="1367"/>
      <c r="AC287" s="1367"/>
      <c r="AD287" s="1367"/>
      <c r="AE287" s="1367"/>
      <c r="AF287" s="1367"/>
      <c r="AG287" s="1367"/>
      <c r="AH287" s="1367"/>
      <c r="AI287" s="1367"/>
      <c r="AJ287" s="1367"/>
      <c r="AK287" s="1367"/>
      <c r="BN287" s="34"/>
    </row>
    <row r="288" spans="1:66" ht="12.9" customHeight="1">
      <c r="B288" s="3" t="s">
        <v>482</v>
      </c>
      <c r="C288" s="3"/>
      <c r="D288" s="3"/>
      <c r="E288" s="3"/>
      <c r="F288" s="3"/>
      <c r="H288" s="1367" t="s">
        <v>2643</v>
      </c>
      <c r="I288" s="1367"/>
      <c r="J288" s="1367"/>
      <c r="K288" s="1367"/>
      <c r="L288" s="1367"/>
      <c r="M288" s="1367"/>
      <c r="N288" s="1367"/>
      <c r="O288" s="1367"/>
      <c r="P288" s="1367"/>
      <c r="Q288" s="1367"/>
      <c r="R288" s="1367"/>
      <c r="T288" s="3" t="s">
        <v>76</v>
      </c>
      <c r="V288" s="3"/>
      <c r="W288" s="3"/>
      <c r="X288" s="3"/>
      <c r="Y288" s="3"/>
      <c r="AA288" s="1367" t="s">
        <v>2649</v>
      </c>
      <c r="AB288" s="1367"/>
      <c r="AC288" s="1367"/>
      <c r="AD288" s="1367"/>
      <c r="AE288" s="1367"/>
      <c r="AF288" s="1367"/>
      <c r="AG288" s="1367"/>
      <c r="AH288" s="1367"/>
      <c r="AI288" s="1367"/>
      <c r="AJ288" s="1367"/>
      <c r="AK288" s="1367"/>
      <c r="BN288" s="34"/>
    </row>
    <row r="289" spans="2:66" ht="12.9" customHeight="1">
      <c r="B289" s="3" t="s">
        <v>88</v>
      </c>
      <c r="C289" s="3"/>
      <c r="D289" s="3"/>
      <c r="E289" s="3"/>
      <c r="F289" s="3"/>
      <c r="H289" s="1367" t="s">
        <v>2644</v>
      </c>
      <c r="I289" s="1367"/>
      <c r="J289" s="1367"/>
      <c r="K289" s="1367"/>
      <c r="L289" s="1367"/>
      <c r="M289" s="1367"/>
      <c r="N289" s="1367"/>
      <c r="O289" s="1367"/>
      <c r="P289" s="1367"/>
      <c r="Q289" s="1367"/>
      <c r="R289" s="1367"/>
      <c r="T289" s="3" t="s">
        <v>88</v>
      </c>
      <c r="V289" s="3"/>
      <c r="W289" s="3"/>
      <c r="X289" s="3"/>
      <c r="Y289" s="3"/>
      <c r="AA289" s="1367" t="s">
        <v>2650</v>
      </c>
      <c r="AB289" s="1367"/>
      <c r="AC289" s="1367"/>
      <c r="AD289" s="1367"/>
      <c r="AE289" s="1367"/>
      <c r="AF289" s="1367"/>
      <c r="AG289" s="1367"/>
      <c r="AH289" s="1367"/>
      <c r="AI289" s="1367"/>
      <c r="AJ289" s="1367"/>
      <c r="AK289" s="1367"/>
      <c r="BN289" s="34"/>
    </row>
    <row r="290" spans="2:66" ht="12.9" customHeight="1">
      <c r="B290" s="3" t="s">
        <v>89</v>
      </c>
      <c r="C290" s="3"/>
      <c r="D290" s="3"/>
      <c r="E290" s="3"/>
      <c r="F290" s="3"/>
      <c r="G290" s="3"/>
      <c r="H290" s="1534" t="s">
        <v>2645</v>
      </c>
      <c r="I290" s="1534"/>
      <c r="J290" s="1534"/>
      <c r="K290" s="1534"/>
      <c r="L290" s="1534"/>
      <c r="M290" s="1534"/>
      <c r="N290" s="4" t="s">
        <v>208</v>
      </c>
      <c r="O290" s="4"/>
      <c r="P290" s="1532"/>
      <c r="Q290" s="1532"/>
      <c r="R290" s="1532"/>
      <c r="S290" s="3"/>
      <c r="T290" s="3" t="s">
        <v>89</v>
      </c>
      <c r="V290" s="3"/>
      <c r="W290" s="3"/>
      <c r="X290" s="3"/>
      <c r="Y290" s="3"/>
      <c r="AA290" s="1534">
        <v>9494446869</v>
      </c>
      <c r="AB290" s="1534"/>
      <c r="AC290" s="1534"/>
      <c r="AD290" s="1534"/>
      <c r="AE290" s="1534"/>
      <c r="AF290" s="1534"/>
      <c r="AG290" s="4" t="s">
        <v>208</v>
      </c>
      <c r="AH290" s="4"/>
      <c r="AI290" s="1532"/>
      <c r="AJ290" s="1532"/>
      <c r="AK290" s="1532"/>
      <c r="BN290" s="34"/>
    </row>
    <row r="291" spans="2:66" ht="12.9" customHeight="1">
      <c r="B291" s="3" t="s">
        <v>90</v>
      </c>
      <c r="C291" s="3"/>
      <c r="D291" s="3"/>
      <c r="E291" s="3"/>
      <c r="F291" s="3"/>
      <c r="G291" s="3"/>
      <c r="H291" s="1436"/>
      <c r="I291" s="1436"/>
      <c r="J291" s="1436"/>
      <c r="K291" s="1436"/>
      <c r="L291" s="1436"/>
      <c r="M291" s="1436"/>
      <c r="N291" s="4"/>
      <c r="O291" s="4"/>
      <c r="P291" s="35"/>
      <c r="Q291" s="35"/>
      <c r="R291" s="35"/>
      <c r="S291" s="3"/>
      <c r="T291" s="3" t="s">
        <v>90</v>
      </c>
      <c r="V291" s="3"/>
      <c r="W291" s="3"/>
      <c r="X291" s="3"/>
      <c r="Y291" s="3"/>
      <c r="AA291" s="1436"/>
      <c r="AB291" s="1436"/>
      <c r="AC291" s="1436"/>
      <c r="AD291" s="1436"/>
      <c r="AE291" s="1436"/>
      <c r="AF291" s="1436"/>
      <c r="AG291" s="4"/>
      <c r="AH291" s="4"/>
      <c r="AI291" s="35"/>
      <c r="AJ291" s="35"/>
      <c r="AK291" s="35"/>
      <c r="BN291" s="34"/>
    </row>
    <row r="292" spans="2:66" ht="12.9" customHeight="1">
      <c r="B292" s="3" t="s">
        <v>77</v>
      </c>
      <c r="C292" s="3"/>
      <c r="D292" s="3"/>
      <c r="E292" s="3"/>
      <c r="F292" s="3"/>
      <c r="G292" s="3"/>
      <c r="H292" s="1367" t="s">
        <v>2646</v>
      </c>
      <c r="I292" s="1367"/>
      <c r="J292" s="1367"/>
      <c r="K292" s="1367"/>
      <c r="L292" s="1367"/>
      <c r="M292" s="1367"/>
      <c r="N292" s="1395"/>
      <c r="O292" s="1395"/>
      <c r="P292" s="1395"/>
      <c r="Q292" s="1395"/>
      <c r="R292" s="1395"/>
      <c r="S292" s="3"/>
      <c r="T292" s="3" t="s">
        <v>77</v>
      </c>
      <c r="V292" s="3"/>
      <c r="W292" s="3"/>
      <c r="X292" s="3"/>
      <c r="Y292" s="3"/>
      <c r="AA292" s="1367" t="s">
        <v>2651</v>
      </c>
      <c r="AB292" s="1367"/>
      <c r="AC292" s="1367"/>
      <c r="AD292" s="1367"/>
      <c r="AE292" s="1367"/>
      <c r="AF292" s="1367"/>
      <c r="AG292" s="1395"/>
      <c r="AH292" s="1395"/>
      <c r="AI292" s="1395"/>
      <c r="AJ292" s="1395"/>
      <c r="AK292" s="1395"/>
      <c r="BN292" s="34"/>
    </row>
    <row r="293" spans="2:66" ht="12.9"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 customHeight="1">
      <c r="B294" s="3" t="s">
        <v>325</v>
      </c>
      <c r="C294" s="3"/>
      <c r="D294" s="3"/>
      <c r="E294" s="3"/>
      <c r="F294" s="3"/>
      <c r="H294" s="1395" t="s">
        <v>2634</v>
      </c>
      <c r="I294" s="1395"/>
      <c r="J294" s="1395"/>
      <c r="K294" s="1395"/>
      <c r="L294" s="1395"/>
      <c r="M294" s="1395"/>
      <c r="N294" s="1395"/>
      <c r="O294" s="1395"/>
      <c r="P294" s="1395"/>
      <c r="Q294" s="1395"/>
      <c r="R294" s="1395"/>
      <c r="T294" s="3" t="s">
        <v>366</v>
      </c>
      <c r="V294" s="3"/>
      <c r="W294" s="3"/>
      <c r="X294" s="3"/>
      <c r="Y294" s="3"/>
      <c r="AA294" s="1395"/>
      <c r="AB294" s="1395"/>
      <c r="AC294" s="1395"/>
      <c r="AD294" s="1395"/>
      <c r="AE294" s="1395"/>
      <c r="AF294" s="1395"/>
      <c r="AG294" s="1395"/>
      <c r="AH294" s="1395"/>
      <c r="AI294" s="1395"/>
      <c r="AJ294" s="1395"/>
      <c r="AK294" s="1395"/>
      <c r="BN294" s="34"/>
    </row>
    <row r="295" spans="2:66" ht="12.9" customHeight="1">
      <c r="B295" s="3" t="s">
        <v>481</v>
      </c>
      <c r="C295" s="3"/>
      <c r="D295" s="3"/>
      <c r="E295" s="3"/>
      <c r="F295" s="3"/>
      <c r="H295" s="1367" t="s">
        <v>2635</v>
      </c>
      <c r="I295" s="1367"/>
      <c r="J295" s="1367"/>
      <c r="K295" s="1367"/>
      <c r="L295" s="1367"/>
      <c r="M295" s="1367"/>
      <c r="N295" s="1367"/>
      <c r="O295" s="1367"/>
      <c r="P295" s="1367"/>
      <c r="Q295" s="1367"/>
      <c r="R295" s="1367"/>
      <c r="T295" s="3" t="s">
        <v>481</v>
      </c>
      <c r="V295" s="3"/>
      <c r="W295" s="3"/>
      <c r="X295" s="3"/>
      <c r="Y295" s="3"/>
      <c r="AA295" s="1367"/>
      <c r="AB295" s="1367"/>
      <c r="AC295" s="1367"/>
      <c r="AD295" s="1367"/>
      <c r="AE295" s="1367"/>
      <c r="AF295" s="1367"/>
      <c r="AG295" s="1367"/>
      <c r="AH295" s="1367"/>
      <c r="AI295" s="1367"/>
      <c r="AJ295" s="1367"/>
      <c r="AK295" s="1367"/>
      <c r="BN295" s="34"/>
    </row>
    <row r="296" spans="2:66" ht="12.9" customHeight="1">
      <c r="B296" s="3" t="s">
        <v>482</v>
      </c>
      <c r="C296" s="3"/>
      <c r="D296" s="3"/>
      <c r="E296" s="3"/>
      <c r="F296" s="3"/>
      <c r="H296" s="1367" t="s">
        <v>2652</v>
      </c>
      <c r="I296" s="1367"/>
      <c r="J296" s="1367"/>
      <c r="K296" s="1367"/>
      <c r="L296" s="1367"/>
      <c r="M296" s="1367"/>
      <c r="N296" s="1367"/>
      <c r="O296" s="1367"/>
      <c r="P296" s="1367"/>
      <c r="Q296" s="1367"/>
      <c r="R296" s="1367"/>
      <c r="T296" s="3" t="s">
        <v>76</v>
      </c>
      <c r="V296" s="3"/>
      <c r="W296" s="3"/>
      <c r="X296" s="3"/>
      <c r="Y296" s="3"/>
      <c r="AA296" s="1367"/>
      <c r="AB296" s="1367"/>
      <c r="AC296" s="1367"/>
      <c r="AD296" s="1367"/>
      <c r="AE296" s="1367"/>
      <c r="AF296" s="1367"/>
      <c r="AG296" s="1367"/>
      <c r="AH296" s="1367"/>
      <c r="AI296" s="1367"/>
      <c r="AJ296" s="1367"/>
      <c r="AK296" s="1367"/>
      <c r="BN296" s="34"/>
    </row>
    <row r="297" spans="2:66" ht="12.9" customHeight="1">
      <c r="B297" s="3" t="s">
        <v>88</v>
      </c>
      <c r="C297" s="3"/>
      <c r="D297" s="3"/>
      <c r="E297" s="3"/>
      <c r="F297" s="3"/>
      <c r="H297" s="1367" t="s">
        <v>2637</v>
      </c>
      <c r="I297" s="1367"/>
      <c r="J297" s="1367"/>
      <c r="K297" s="1367"/>
      <c r="L297" s="1367"/>
      <c r="M297" s="1367"/>
      <c r="N297" s="1367"/>
      <c r="O297" s="1367"/>
      <c r="P297" s="1367"/>
      <c r="Q297" s="1367"/>
      <c r="R297" s="1367"/>
      <c r="T297" s="3" t="s">
        <v>88</v>
      </c>
      <c r="V297" s="3"/>
      <c r="W297" s="3"/>
      <c r="X297" s="3"/>
      <c r="Y297" s="3"/>
      <c r="AA297" s="1367"/>
      <c r="AB297" s="1367"/>
      <c r="AC297" s="1367"/>
      <c r="AD297" s="1367"/>
      <c r="AE297" s="1367"/>
      <c r="AF297" s="1367"/>
      <c r="AG297" s="1367"/>
      <c r="AH297" s="1367"/>
      <c r="AI297" s="1367"/>
      <c r="AJ297" s="1367"/>
      <c r="AK297" s="1367"/>
      <c r="BN297" s="34"/>
    </row>
    <row r="298" spans="2:66" ht="12.9" customHeight="1">
      <c r="B298" s="3" t="s">
        <v>89</v>
      </c>
      <c r="C298" s="3"/>
      <c r="D298" s="3"/>
      <c r="E298" s="3"/>
      <c r="F298" s="3"/>
      <c r="G298" s="3"/>
      <c r="H298" s="1534" t="s">
        <v>2638</v>
      </c>
      <c r="I298" s="1534"/>
      <c r="J298" s="1534"/>
      <c r="K298" s="1534"/>
      <c r="L298" s="1534"/>
      <c r="M298" s="1534"/>
      <c r="N298" s="4" t="s">
        <v>208</v>
      </c>
      <c r="O298" s="4"/>
      <c r="P298" s="1532">
        <v>270</v>
      </c>
      <c r="Q298" s="1532"/>
      <c r="R298" s="1532"/>
      <c r="S298" s="3"/>
      <c r="T298" s="3" t="s">
        <v>89</v>
      </c>
      <c r="V298" s="3"/>
      <c r="W298" s="3"/>
      <c r="X298" s="3"/>
      <c r="Y298" s="3"/>
      <c r="AA298" s="1534"/>
      <c r="AB298" s="1534"/>
      <c r="AC298" s="1534"/>
      <c r="AD298" s="1534"/>
      <c r="AE298" s="1534"/>
      <c r="AF298" s="1534"/>
      <c r="AG298" s="4" t="s">
        <v>208</v>
      </c>
      <c r="AH298" s="4"/>
      <c r="AI298" s="1532"/>
      <c r="AJ298" s="1532"/>
      <c r="AK298" s="1532"/>
      <c r="BN298" s="34"/>
    </row>
    <row r="299" spans="2:66" ht="12.9" customHeight="1">
      <c r="B299" s="3" t="s">
        <v>90</v>
      </c>
      <c r="C299" s="3"/>
      <c r="D299" s="3"/>
      <c r="E299" s="3"/>
      <c r="F299" s="3"/>
      <c r="G299" s="3"/>
      <c r="H299" s="1436" t="s">
        <v>2653</v>
      </c>
      <c r="I299" s="1436"/>
      <c r="J299" s="1436"/>
      <c r="K299" s="1436"/>
      <c r="L299" s="1436"/>
      <c r="M299" s="1436"/>
      <c r="N299" s="4"/>
      <c r="O299" s="4"/>
      <c r="P299" s="35"/>
      <c r="Q299" s="35"/>
      <c r="R299" s="35"/>
      <c r="S299" s="3"/>
      <c r="T299" s="3" t="s">
        <v>90</v>
      </c>
      <c r="V299" s="3"/>
      <c r="W299" s="3"/>
      <c r="X299" s="3"/>
      <c r="Y299" s="3"/>
      <c r="AA299" s="1436"/>
      <c r="AB299" s="1436"/>
      <c r="AC299" s="1436"/>
      <c r="AD299" s="1436"/>
      <c r="AE299" s="1436"/>
      <c r="AF299" s="1436"/>
      <c r="AG299" s="4"/>
      <c r="AH299" s="4"/>
      <c r="AI299" s="35"/>
      <c r="AJ299" s="35"/>
      <c r="AK299" s="35"/>
      <c r="BN299" s="34"/>
    </row>
    <row r="300" spans="2:66" ht="12.9" customHeight="1">
      <c r="B300" s="3" t="s">
        <v>77</v>
      </c>
      <c r="C300" s="3"/>
      <c r="D300" s="3"/>
      <c r="E300" s="3"/>
      <c r="F300" s="3"/>
      <c r="G300" s="3"/>
      <c r="H300" s="1367" t="s">
        <v>2639</v>
      </c>
      <c r="I300" s="1367"/>
      <c r="J300" s="1367"/>
      <c r="K300" s="1367"/>
      <c r="L300" s="1367"/>
      <c r="M300" s="1367"/>
      <c r="N300" s="1395"/>
      <c r="O300" s="1395"/>
      <c r="P300" s="1395"/>
      <c r="Q300" s="1395"/>
      <c r="R300" s="1395"/>
      <c r="S300" s="3"/>
      <c r="T300" s="3" t="s">
        <v>77</v>
      </c>
      <c r="V300" s="3"/>
      <c r="W300" s="3"/>
      <c r="X300" s="3"/>
      <c r="Y300" s="3"/>
      <c r="AA300" s="1367"/>
      <c r="AB300" s="1367"/>
      <c r="AC300" s="1367"/>
      <c r="AD300" s="1367"/>
      <c r="AE300" s="1367"/>
      <c r="AF300" s="1367"/>
      <c r="AG300" s="1395"/>
      <c r="AH300" s="1395"/>
      <c r="AI300" s="1395"/>
      <c r="AJ300" s="1395"/>
      <c r="AK300" s="1395"/>
      <c r="BN300" s="34"/>
    </row>
    <row r="301" spans="2:66" ht="12.9" customHeight="1">
      <c r="BN301" s="34"/>
    </row>
    <row r="302" spans="2:66" ht="12.9" customHeight="1">
      <c r="B302" s="3" t="s">
        <v>78</v>
      </c>
      <c r="C302" s="3"/>
      <c r="D302" s="3"/>
      <c r="E302" s="3"/>
      <c r="F302" s="3"/>
      <c r="H302" s="1395" t="s">
        <v>2634</v>
      </c>
      <c r="I302" s="1395"/>
      <c r="J302" s="1395"/>
      <c r="K302" s="1395"/>
      <c r="L302" s="1395"/>
      <c r="M302" s="1395"/>
      <c r="N302" s="1395"/>
      <c r="O302" s="1395"/>
      <c r="P302" s="1395"/>
      <c r="Q302" s="1395"/>
      <c r="R302" s="1395"/>
      <c r="T302" s="4" t="s">
        <v>907</v>
      </c>
      <c r="V302" s="3"/>
      <c r="W302" s="3"/>
      <c r="X302" s="3"/>
      <c r="Y302" s="3"/>
      <c r="AA302" s="1395"/>
      <c r="AB302" s="1395"/>
      <c r="AC302" s="1395"/>
      <c r="AD302" s="1395"/>
      <c r="AE302" s="1395"/>
      <c r="AF302" s="1395"/>
      <c r="AG302" s="1395"/>
      <c r="AH302" s="1395"/>
      <c r="AI302" s="1395"/>
      <c r="AJ302" s="1395"/>
      <c r="AK302" s="1395"/>
      <c r="BN302" s="34"/>
    </row>
    <row r="303" spans="2:66" ht="12.9" customHeight="1">
      <c r="B303" s="3" t="s">
        <v>481</v>
      </c>
      <c r="C303" s="3"/>
      <c r="D303" s="3"/>
      <c r="E303" s="3"/>
      <c r="F303" s="3"/>
      <c r="H303" s="1367" t="s">
        <v>2635</v>
      </c>
      <c r="I303" s="1367"/>
      <c r="J303" s="1367"/>
      <c r="K303" s="1367"/>
      <c r="L303" s="1367"/>
      <c r="M303" s="1367"/>
      <c r="N303" s="1367"/>
      <c r="O303" s="1367"/>
      <c r="P303" s="1367"/>
      <c r="Q303" s="1367"/>
      <c r="R303" s="1367"/>
      <c r="T303" s="3" t="s">
        <v>481</v>
      </c>
      <c r="V303" s="3"/>
      <c r="W303" s="3"/>
      <c r="X303" s="3"/>
      <c r="Y303" s="3"/>
      <c r="AA303" s="1367"/>
      <c r="AB303" s="1367"/>
      <c r="AC303" s="1367"/>
      <c r="AD303" s="1367"/>
      <c r="AE303" s="1367"/>
      <c r="AF303" s="1367"/>
      <c r="AG303" s="1367"/>
      <c r="AH303" s="1367"/>
      <c r="AI303" s="1367"/>
      <c r="AJ303" s="1367"/>
      <c r="AK303" s="1367"/>
      <c r="BN303" s="34"/>
    </row>
    <row r="304" spans="2:66" ht="12.9" customHeight="1">
      <c r="B304" s="3" t="s">
        <v>482</v>
      </c>
      <c r="C304" s="3"/>
      <c r="D304" s="3"/>
      <c r="E304" s="3"/>
      <c r="F304" s="3"/>
      <c r="H304" s="1367" t="s">
        <v>2652</v>
      </c>
      <c r="I304" s="1367"/>
      <c r="J304" s="1367"/>
      <c r="K304" s="1367"/>
      <c r="L304" s="1367"/>
      <c r="M304" s="1367"/>
      <c r="N304" s="1367"/>
      <c r="O304" s="1367"/>
      <c r="P304" s="1367"/>
      <c r="Q304" s="1367"/>
      <c r="R304" s="1367"/>
      <c r="T304" s="3" t="s">
        <v>76</v>
      </c>
      <c r="V304" s="3"/>
      <c r="W304" s="3"/>
      <c r="X304" s="3"/>
      <c r="Y304" s="3"/>
      <c r="AA304" s="1367"/>
      <c r="AB304" s="1367"/>
      <c r="AC304" s="1367"/>
      <c r="AD304" s="1367"/>
      <c r="AE304" s="1367"/>
      <c r="AF304" s="1367"/>
      <c r="AG304" s="1367"/>
      <c r="AH304" s="1367"/>
      <c r="AI304" s="1367"/>
      <c r="AJ304" s="1367"/>
      <c r="AK304" s="1367"/>
      <c r="BN304" s="34"/>
    </row>
    <row r="305" spans="2:66" ht="12.9" customHeight="1">
      <c r="B305" s="3" t="s">
        <v>88</v>
      </c>
      <c r="C305" s="3"/>
      <c r="D305" s="3"/>
      <c r="E305" s="3"/>
      <c r="F305" s="3"/>
      <c r="H305" s="1367" t="s">
        <v>2637</v>
      </c>
      <c r="I305" s="1367"/>
      <c r="J305" s="1367"/>
      <c r="K305" s="1367"/>
      <c r="L305" s="1367"/>
      <c r="M305" s="1367"/>
      <c r="N305" s="1367"/>
      <c r="O305" s="1367"/>
      <c r="P305" s="1367"/>
      <c r="Q305" s="1367"/>
      <c r="R305" s="1367"/>
      <c r="T305" s="3" t="s">
        <v>88</v>
      </c>
      <c r="V305" s="3"/>
      <c r="W305" s="3"/>
      <c r="X305" s="3"/>
      <c r="Y305" s="3"/>
      <c r="AA305" s="1367"/>
      <c r="AB305" s="1367"/>
      <c r="AC305" s="1367"/>
      <c r="AD305" s="1367"/>
      <c r="AE305" s="1367"/>
      <c r="AF305" s="1367"/>
      <c r="AG305" s="1367"/>
      <c r="AH305" s="1367"/>
      <c r="AI305" s="1367"/>
      <c r="AJ305" s="1367"/>
      <c r="AK305" s="1367"/>
      <c r="BN305" s="34"/>
    </row>
    <row r="306" spans="2:66" ht="12.9" customHeight="1">
      <c r="B306" s="3" t="s">
        <v>89</v>
      </c>
      <c r="C306" s="3"/>
      <c r="D306" s="3"/>
      <c r="E306" s="3"/>
      <c r="F306" s="3"/>
      <c r="G306" s="3"/>
      <c r="H306" s="1534" t="s">
        <v>2638</v>
      </c>
      <c r="I306" s="1534"/>
      <c r="J306" s="1534"/>
      <c r="K306" s="1534"/>
      <c r="L306" s="1534"/>
      <c r="M306" s="1534"/>
      <c r="N306" s="4" t="s">
        <v>208</v>
      </c>
      <c r="O306" s="4"/>
      <c r="P306" s="1532">
        <v>270</v>
      </c>
      <c r="Q306" s="1532"/>
      <c r="R306" s="1532"/>
      <c r="S306" s="3"/>
      <c r="T306" s="3" t="s">
        <v>89</v>
      </c>
      <c r="V306" s="3"/>
      <c r="W306" s="3"/>
      <c r="X306" s="3"/>
      <c r="Y306" s="3"/>
      <c r="AA306" s="1534"/>
      <c r="AB306" s="1534"/>
      <c r="AC306" s="1534"/>
      <c r="AD306" s="1534"/>
      <c r="AE306" s="1534"/>
      <c r="AF306" s="1534"/>
      <c r="AG306" s="4" t="s">
        <v>208</v>
      </c>
      <c r="AH306" s="4"/>
      <c r="AI306" s="1532"/>
      <c r="AJ306" s="1532"/>
      <c r="AK306" s="1532"/>
      <c r="BN306" s="34"/>
    </row>
    <row r="307" spans="2:66" ht="12.9" customHeight="1">
      <c r="B307" s="3" t="s">
        <v>90</v>
      </c>
      <c r="C307" s="3"/>
      <c r="D307" s="3"/>
      <c r="E307" s="3"/>
      <c r="F307" s="3"/>
      <c r="G307" s="3"/>
      <c r="H307" s="1436" t="s">
        <v>2653</v>
      </c>
      <c r="I307" s="1436"/>
      <c r="J307" s="1436"/>
      <c r="K307" s="1436"/>
      <c r="L307" s="1436"/>
      <c r="M307" s="1436"/>
      <c r="N307" s="4"/>
      <c r="O307" s="4"/>
      <c r="P307" s="35"/>
      <c r="Q307" s="35"/>
      <c r="R307" s="35"/>
      <c r="S307" s="3"/>
      <c r="T307" s="3" t="s">
        <v>90</v>
      </c>
      <c r="V307" s="3"/>
      <c r="W307" s="3"/>
      <c r="X307" s="3"/>
      <c r="Y307" s="3"/>
      <c r="AA307" s="1436"/>
      <c r="AB307" s="1436"/>
      <c r="AC307" s="1436"/>
      <c r="AD307" s="1436"/>
      <c r="AE307" s="1436"/>
      <c r="AF307" s="1436"/>
      <c r="AG307" s="4"/>
      <c r="AH307" s="4"/>
      <c r="AI307" s="35"/>
      <c r="AJ307" s="35"/>
      <c r="AK307" s="35"/>
      <c r="BN307" s="34"/>
    </row>
    <row r="308" spans="2:66" ht="12.9" customHeight="1">
      <c r="B308" s="3" t="s">
        <v>77</v>
      </c>
      <c r="C308" s="3"/>
      <c r="D308" s="3"/>
      <c r="E308" s="3"/>
      <c r="F308" s="3"/>
      <c r="G308" s="3"/>
      <c r="H308" s="1367" t="s">
        <v>2639</v>
      </c>
      <c r="I308" s="1367"/>
      <c r="J308" s="1367"/>
      <c r="K308" s="1367"/>
      <c r="L308" s="1367"/>
      <c r="M308" s="1367"/>
      <c r="N308" s="1395"/>
      <c r="O308" s="1395"/>
      <c r="P308" s="1395"/>
      <c r="Q308" s="1395"/>
      <c r="R308" s="1395"/>
      <c r="S308" s="3"/>
      <c r="T308" s="3" t="s">
        <v>77</v>
      </c>
      <c r="V308" s="3"/>
      <c r="W308" s="3"/>
      <c r="X308" s="3"/>
      <c r="Y308" s="3"/>
      <c r="AA308" s="1367"/>
      <c r="AB308" s="1367"/>
      <c r="AC308" s="1367"/>
      <c r="AD308" s="1367"/>
      <c r="AE308" s="1367"/>
      <c r="AF308" s="1367"/>
      <c r="AG308" s="1395"/>
      <c r="AH308" s="1395"/>
      <c r="AI308" s="1395"/>
      <c r="AJ308" s="1395"/>
      <c r="AK308" s="1395"/>
      <c r="BN308" s="34"/>
    </row>
    <row r="309" spans="2:66" ht="12.9"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 customHeight="1">
      <c r="B310" s="4" t="s">
        <v>940</v>
      </c>
      <c r="C310" s="3"/>
      <c r="D310" s="3"/>
      <c r="E310" s="3"/>
      <c r="F310" s="3"/>
      <c r="H310" s="1395" t="s">
        <v>2673</v>
      </c>
      <c r="I310" s="1395"/>
      <c r="J310" s="1395"/>
      <c r="K310" s="1395"/>
      <c r="L310" s="1395"/>
      <c r="M310" s="1395"/>
      <c r="N310" s="1395"/>
      <c r="O310" s="1395"/>
      <c r="P310" s="1395"/>
      <c r="Q310" s="1395"/>
      <c r="R310" s="1395"/>
      <c r="S310" s="3"/>
      <c r="T310" s="3" t="s">
        <v>367</v>
      </c>
      <c r="V310" s="3"/>
      <c r="W310" s="3"/>
      <c r="X310" s="3"/>
      <c r="Y310" s="3"/>
      <c r="AA310" s="1395" t="s">
        <v>2710</v>
      </c>
      <c r="AB310" s="1395"/>
      <c r="AC310" s="1395"/>
      <c r="AD310" s="1395"/>
      <c r="AE310" s="1395"/>
      <c r="AF310" s="1395"/>
      <c r="AG310" s="1395"/>
      <c r="AH310" s="1395"/>
      <c r="AI310" s="1395"/>
      <c r="AJ310" s="1395"/>
      <c r="AK310" s="1395"/>
      <c r="BN310" s="34"/>
    </row>
    <row r="311" spans="2:66" ht="12.9" customHeight="1">
      <c r="B311" s="3" t="s">
        <v>481</v>
      </c>
      <c r="C311" s="3"/>
      <c r="D311" s="3"/>
      <c r="E311" s="3"/>
      <c r="F311" s="3"/>
      <c r="H311" s="1367" t="s">
        <v>2674</v>
      </c>
      <c r="I311" s="1367"/>
      <c r="J311" s="1367"/>
      <c r="K311" s="1367"/>
      <c r="L311" s="1367"/>
      <c r="M311" s="1367"/>
      <c r="N311" s="1367"/>
      <c r="O311" s="1367"/>
      <c r="P311" s="1367"/>
      <c r="Q311" s="1367"/>
      <c r="R311" s="1367"/>
      <c r="S311" s="3"/>
      <c r="T311" s="3" t="s">
        <v>481</v>
      </c>
      <c r="V311" s="3"/>
      <c r="W311" s="3"/>
      <c r="X311" s="3"/>
      <c r="Y311" s="3"/>
      <c r="AA311" s="1367" t="s">
        <v>2711</v>
      </c>
      <c r="AB311" s="1367"/>
      <c r="AC311" s="1367"/>
      <c r="AD311" s="1367"/>
      <c r="AE311" s="1367"/>
      <c r="AF311" s="1367"/>
      <c r="AG311" s="1367"/>
      <c r="AH311" s="1367"/>
      <c r="AI311" s="1367"/>
      <c r="AJ311" s="1367"/>
      <c r="AK311" s="1367"/>
      <c r="BN311" s="34"/>
    </row>
    <row r="312" spans="2:66" ht="12.9" customHeight="1">
      <c r="B312" s="3" t="s">
        <v>482</v>
      </c>
      <c r="C312" s="3"/>
      <c r="D312" s="3"/>
      <c r="E312" s="3"/>
      <c r="F312" s="3"/>
      <c r="H312" s="1367" t="s">
        <v>2675</v>
      </c>
      <c r="I312" s="1367"/>
      <c r="J312" s="1367"/>
      <c r="K312" s="1367"/>
      <c r="L312" s="1367"/>
      <c r="M312" s="1367"/>
      <c r="N312" s="1367"/>
      <c r="O312" s="1367"/>
      <c r="P312" s="1367"/>
      <c r="Q312" s="1367"/>
      <c r="R312" s="1367"/>
      <c r="S312" s="3"/>
      <c r="T312" s="3" t="s">
        <v>76</v>
      </c>
      <c r="V312" s="3"/>
      <c r="W312" s="3"/>
      <c r="X312" s="3"/>
      <c r="Y312" s="3"/>
      <c r="AA312" s="1367" t="s">
        <v>2712</v>
      </c>
      <c r="AB312" s="1367"/>
      <c r="AC312" s="1367"/>
      <c r="AD312" s="1367"/>
      <c r="AE312" s="1367"/>
      <c r="AF312" s="1367"/>
      <c r="AG312" s="1367"/>
      <c r="AH312" s="1367"/>
      <c r="AI312" s="1367"/>
      <c r="AJ312" s="1367"/>
      <c r="AK312" s="1367"/>
      <c r="BN312" s="34"/>
    </row>
    <row r="313" spans="2:66" ht="12.9" customHeight="1">
      <c r="B313" s="3" t="s">
        <v>88</v>
      </c>
      <c r="C313" s="3"/>
      <c r="D313" s="3"/>
      <c r="E313" s="3"/>
      <c r="F313" s="3"/>
      <c r="H313" s="1367" t="s">
        <v>2676</v>
      </c>
      <c r="I313" s="1367"/>
      <c r="J313" s="1367"/>
      <c r="K313" s="1367"/>
      <c r="L313" s="1367"/>
      <c r="M313" s="1367"/>
      <c r="N313" s="1367"/>
      <c r="O313" s="1367"/>
      <c r="P313" s="1367"/>
      <c r="Q313" s="1367"/>
      <c r="R313" s="1367"/>
      <c r="S313" s="3"/>
      <c r="T313" s="3" t="s">
        <v>88</v>
      </c>
      <c r="V313" s="3"/>
      <c r="W313" s="3"/>
      <c r="X313" s="3"/>
      <c r="Y313" s="3"/>
      <c r="AA313" s="1367" t="s">
        <v>2701</v>
      </c>
      <c r="AB313" s="1367"/>
      <c r="AC313" s="1367"/>
      <c r="AD313" s="1367"/>
      <c r="AE313" s="1367"/>
      <c r="AF313" s="1367"/>
      <c r="AG313" s="1367"/>
      <c r="AH313" s="1367"/>
      <c r="AI313" s="1367"/>
      <c r="AJ313" s="1367"/>
      <c r="AK313" s="1367"/>
      <c r="BN313" s="34"/>
    </row>
    <row r="314" spans="2:66" ht="12.9" customHeight="1">
      <c r="B314" s="3" t="s">
        <v>89</v>
      </c>
      <c r="C314" s="3"/>
      <c r="D314" s="3"/>
      <c r="E314" s="3"/>
      <c r="F314" s="3"/>
      <c r="G314" s="3"/>
      <c r="H314" s="1534">
        <v>2099339113</v>
      </c>
      <c r="I314" s="1534"/>
      <c r="J314" s="1534"/>
      <c r="K314" s="1534"/>
      <c r="L314" s="1534"/>
      <c r="M314" s="1534"/>
      <c r="N314" s="4" t="s">
        <v>208</v>
      </c>
      <c r="O314" s="4"/>
      <c r="P314" s="1532"/>
      <c r="Q314" s="1532"/>
      <c r="R314" s="1532"/>
      <c r="S314" s="3"/>
      <c r="T314" s="3" t="s">
        <v>89</v>
      </c>
      <c r="V314" s="3"/>
      <c r="W314" s="3"/>
      <c r="X314" s="3"/>
      <c r="Y314" s="3"/>
      <c r="AA314" s="1534">
        <v>4159834005</v>
      </c>
      <c r="AB314" s="1534"/>
      <c r="AC314" s="1534"/>
      <c r="AD314" s="1534"/>
      <c r="AE314" s="1534"/>
      <c r="AF314" s="1534"/>
      <c r="AG314" s="4" t="s">
        <v>208</v>
      </c>
      <c r="AH314" s="4"/>
      <c r="AI314" s="1532"/>
      <c r="AJ314" s="1532"/>
      <c r="AK314" s="1532"/>
      <c r="BN314" s="34"/>
    </row>
    <row r="315" spans="2:66" ht="12.9" customHeight="1">
      <c r="B315" s="3" t="s">
        <v>90</v>
      </c>
      <c r="C315" s="3"/>
      <c r="D315" s="3"/>
      <c r="E315" s="3"/>
      <c r="F315" s="3"/>
      <c r="G315" s="3"/>
      <c r="H315" s="1436"/>
      <c r="I315" s="1436"/>
      <c r="J315" s="1436"/>
      <c r="K315" s="1436"/>
      <c r="L315" s="1436"/>
      <c r="M315" s="1436"/>
      <c r="N315" s="4"/>
      <c r="O315" s="4"/>
      <c r="P315" s="35"/>
      <c r="Q315" s="35"/>
      <c r="R315" s="35"/>
      <c r="S315" s="3"/>
      <c r="T315" s="3" t="s">
        <v>90</v>
      </c>
      <c r="V315" s="3"/>
      <c r="W315" s="3"/>
      <c r="X315" s="3"/>
      <c r="Y315" s="3"/>
      <c r="AA315" s="1436"/>
      <c r="AB315" s="1436"/>
      <c r="AC315" s="1436"/>
      <c r="AD315" s="1436"/>
      <c r="AE315" s="1436"/>
      <c r="AF315" s="1436"/>
      <c r="AG315" s="4"/>
      <c r="AH315" s="4"/>
      <c r="AI315" s="35"/>
      <c r="AJ315" s="35"/>
      <c r="AK315" s="35"/>
      <c r="BN315" s="34"/>
    </row>
    <row r="316" spans="2:66" ht="12.9" customHeight="1">
      <c r="B316" s="3" t="s">
        <v>77</v>
      </c>
      <c r="C316" s="3"/>
      <c r="D316" s="3"/>
      <c r="E316" s="3"/>
      <c r="F316" s="3"/>
      <c r="G316" s="3"/>
      <c r="H316" s="1367" t="s">
        <v>2677</v>
      </c>
      <c r="I316" s="1367"/>
      <c r="J316" s="1367"/>
      <c r="K316" s="1367"/>
      <c r="L316" s="1367"/>
      <c r="M316" s="1367"/>
      <c r="N316" s="1395"/>
      <c r="O316" s="1395"/>
      <c r="P316" s="1395"/>
      <c r="Q316" s="1395"/>
      <c r="R316" s="1395"/>
      <c r="S316" s="3"/>
      <c r="T316" s="3" t="s">
        <v>77</v>
      </c>
      <c r="V316" s="3"/>
      <c r="W316" s="3"/>
      <c r="X316" s="3"/>
      <c r="Y316" s="3"/>
      <c r="AA316" s="1367" t="s">
        <v>2713</v>
      </c>
      <c r="AB316" s="1367"/>
      <c r="AC316" s="1367"/>
      <c r="AD316" s="1367"/>
      <c r="AE316" s="1367"/>
      <c r="AF316" s="1367"/>
      <c r="AG316" s="1395"/>
      <c r="AH316" s="1395"/>
      <c r="AI316" s="1395"/>
      <c r="AJ316" s="1395"/>
      <c r="AK316" s="1395"/>
      <c r="BN316" s="34"/>
    </row>
    <row r="317" spans="2:66" ht="12.9" customHeight="1">
      <c r="BN317" s="34"/>
    </row>
    <row r="318" spans="2:66" ht="12.9" customHeight="1">
      <c r="B318" s="4" t="s">
        <v>941</v>
      </c>
      <c r="C318" s="3"/>
      <c r="D318" s="3"/>
      <c r="E318" s="3"/>
      <c r="F318" s="3"/>
      <c r="H318" s="1395" t="s">
        <v>2634</v>
      </c>
      <c r="I318" s="1395"/>
      <c r="J318" s="1395"/>
      <c r="K318" s="1395"/>
      <c r="L318" s="1395"/>
      <c r="M318" s="1395"/>
      <c r="N318" s="1395"/>
      <c r="O318" s="1395"/>
      <c r="P318" s="1395"/>
      <c r="Q318" s="1395"/>
      <c r="R318" s="1395"/>
      <c r="T318" s="3" t="s">
        <v>368</v>
      </c>
      <c r="V318" s="3"/>
      <c r="W318" s="3"/>
      <c r="X318" s="3"/>
      <c r="Y318" s="3"/>
      <c r="AA318" s="1395" t="s">
        <v>2714</v>
      </c>
      <c r="AB318" s="1395"/>
      <c r="AC318" s="1395"/>
      <c r="AD318" s="1395"/>
      <c r="AE318" s="1395"/>
      <c r="AF318" s="1395"/>
      <c r="AG318" s="1395"/>
      <c r="AH318" s="1395"/>
      <c r="AI318" s="1395"/>
      <c r="AJ318" s="1395"/>
      <c r="AK318" s="1395"/>
      <c r="BN318" s="34"/>
    </row>
    <row r="319" spans="2:66" ht="12.9" customHeight="1">
      <c r="B319" s="3" t="s">
        <v>481</v>
      </c>
      <c r="C319" s="3"/>
      <c r="D319" s="3"/>
      <c r="E319" s="3"/>
      <c r="F319" s="3"/>
      <c r="H319" s="1367" t="s">
        <v>2635</v>
      </c>
      <c r="I319" s="1367"/>
      <c r="J319" s="1367"/>
      <c r="K319" s="1367"/>
      <c r="L319" s="1367"/>
      <c r="M319" s="1367"/>
      <c r="N319" s="1367"/>
      <c r="O319" s="1367"/>
      <c r="P319" s="1367"/>
      <c r="Q319" s="1367"/>
      <c r="R319" s="1367"/>
      <c r="T319" s="3" t="s">
        <v>481</v>
      </c>
      <c r="V319" s="3"/>
      <c r="W319" s="3"/>
      <c r="X319" s="3"/>
      <c r="Y319" s="3"/>
      <c r="AA319" s="1367" t="s">
        <v>2715</v>
      </c>
      <c r="AB319" s="1367"/>
      <c r="AC319" s="1367"/>
      <c r="AD319" s="1367"/>
      <c r="AE319" s="1367"/>
      <c r="AF319" s="1367"/>
      <c r="AG319" s="1367"/>
      <c r="AH319" s="1367"/>
      <c r="AI319" s="1367"/>
      <c r="AJ319" s="1367"/>
      <c r="AK319" s="1367"/>
      <c r="BN319" s="34"/>
    </row>
    <row r="320" spans="2:66" ht="12.9" customHeight="1">
      <c r="B320" s="3" t="s">
        <v>482</v>
      </c>
      <c r="C320" s="3"/>
      <c r="D320" s="3"/>
      <c r="E320" s="3"/>
      <c r="F320" s="3"/>
      <c r="H320" s="1367" t="s">
        <v>2652</v>
      </c>
      <c r="I320" s="1367"/>
      <c r="J320" s="1367"/>
      <c r="K320" s="1367"/>
      <c r="L320" s="1367"/>
      <c r="M320" s="1367"/>
      <c r="N320" s="1367"/>
      <c r="O320" s="1367"/>
      <c r="P320" s="1367"/>
      <c r="Q320" s="1367"/>
      <c r="R320" s="1367"/>
      <c r="T320" s="3" t="s">
        <v>76</v>
      </c>
      <c r="V320" s="3"/>
      <c r="W320" s="3"/>
      <c r="X320" s="3"/>
      <c r="Y320" s="3"/>
      <c r="AA320" s="1367" t="s">
        <v>2716</v>
      </c>
      <c r="AB320" s="1367"/>
      <c r="AC320" s="1367"/>
      <c r="AD320" s="1367"/>
      <c r="AE320" s="1367"/>
      <c r="AF320" s="1367"/>
      <c r="AG320" s="1367"/>
      <c r="AH320" s="1367"/>
      <c r="AI320" s="1367"/>
      <c r="AJ320" s="1367"/>
      <c r="AK320" s="1367"/>
      <c r="BN320" s="34"/>
    </row>
    <row r="321" spans="2:66" ht="12.9" customHeight="1">
      <c r="B321" s="3" t="s">
        <v>88</v>
      </c>
      <c r="C321" s="3"/>
      <c r="D321" s="3"/>
      <c r="E321" s="3"/>
      <c r="F321" s="3"/>
      <c r="H321" s="1367" t="s">
        <v>2637</v>
      </c>
      <c r="I321" s="1367"/>
      <c r="J321" s="1367"/>
      <c r="K321" s="1367"/>
      <c r="L321" s="1367"/>
      <c r="M321" s="1367"/>
      <c r="N321" s="1367"/>
      <c r="O321" s="1367"/>
      <c r="P321" s="1367"/>
      <c r="Q321" s="1367"/>
      <c r="R321" s="1367"/>
      <c r="T321" s="3" t="s">
        <v>88</v>
      </c>
      <c r="V321" s="3"/>
      <c r="W321" s="3"/>
      <c r="X321" s="3"/>
      <c r="Y321" s="3"/>
      <c r="AA321" s="1367" t="s">
        <v>2717</v>
      </c>
      <c r="AB321" s="1367"/>
      <c r="AC321" s="1367"/>
      <c r="AD321" s="1367"/>
      <c r="AE321" s="1367"/>
      <c r="AF321" s="1367"/>
      <c r="AG321" s="1367"/>
      <c r="AH321" s="1367"/>
      <c r="AI321" s="1367"/>
      <c r="AJ321" s="1367"/>
      <c r="AK321" s="1367"/>
      <c r="BN321" s="34"/>
    </row>
    <row r="322" spans="2:66" ht="12.9" customHeight="1">
      <c r="B322" s="3" t="s">
        <v>89</v>
      </c>
      <c r="C322" s="3"/>
      <c r="D322" s="3"/>
      <c r="E322" s="3"/>
      <c r="F322" s="3"/>
      <c r="G322" s="3"/>
      <c r="H322" s="1534" t="s">
        <v>2638</v>
      </c>
      <c r="I322" s="1534"/>
      <c r="J322" s="1534"/>
      <c r="K322" s="1534"/>
      <c r="L322" s="1534"/>
      <c r="M322" s="1534"/>
      <c r="N322" s="4" t="s">
        <v>208</v>
      </c>
      <c r="O322" s="4"/>
      <c r="P322" s="1532">
        <v>270</v>
      </c>
      <c r="Q322" s="1532"/>
      <c r="R322" s="1532"/>
      <c r="S322" s="3"/>
      <c r="T322" s="3" t="s">
        <v>89</v>
      </c>
      <c r="V322" s="3"/>
      <c r="W322" s="3"/>
      <c r="X322" s="3"/>
      <c r="Y322" s="3"/>
      <c r="AA322" s="1533" t="s">
        <v>2718</v>
      </c>
      <c r="AB322" s="1534"/>
      <c r="AC322" s="1534"/>
      <c r="AD322" s="1534"/>
      <c r="AE322" s="1534"/>
      <c r="AF322" s="1534"/>
      <c r="AG322" s="4" t="s">
        <v>208</v>
      </c>
      <c r="AH322" s="4"/>
      <c r="AI322" s="1532"/>
      <c r="AJ322" s="1532"/>
      <c r="AK322" s="1532"/>
      <c r="BN322" s="34"/>
    </row>
    <row r="323" spans="2:66" ht="12.9" customHeight="1">
      <c r="B323" s="3" t="s">
        <v>90</v>
      </c>
      <c r="C323" s="3"/>
      <c r="D323" s="3"/>
      <c r="E323" s="3"/>
      <c r="F323" s="3"/>
      <c r="G323" s="3"/>
      <c r="H323" s="1436" t="s">
        <v>2653</v>
      </c>
      <c r="I323" s="1436"/>
      <c r="J323" s="1436"/>
      <c r="K323" s="1436"/>
      <c r="L323" s="1436"/>
      <c r="M323" s="1436"/>
      <c r="N323" s="4"/>
      <c r="O323" s="4"/>
      <c r="P323" s="35"/>
      <c r="Q323" s="35"/>
      <c r="R323" s="35"/>
      <c r="S323" s="3"/>
      <c r="T323" s="3" t="s">
        <v>90</v>
      </c>
      <c r="V323" s="3"/>
      <c r="W323" s="3"/>
      <c r="X323" s="3"/>
      <c r="Y323" s="3"/>
      <c r="AA323" s="1436"/>
      <c r="AB323" s="1436"/>
      <c r="AC323" s="1436"/>
      <c r="AD323" s="1436"/>
      <c r="AE323" s="1436"/>
      <c r="AF323" s="1436"/>
      <c r="AG323" s="4"/>
      <c r="AH323" s="4"/>
      <c r="AI323" s="35"/>
      <c r="AJ323" s="35"/>
      <c r="AK323" s="35"/>
    </row>
    <row r="324" spans="2:66" ht="12.9" customHeight="1">
      <c r="B324" s="3" t="s">
        <v>77</v>
      </c>
      <c r="C324" s="3"/>
      <c r="D324" s="3"/>
      <c r="E324" s="3"/>
      <c r="F324" s="3"/>
      <c r="G324" s="3"/>
      <c r="H324" s="1367" t="s">
        <v>2639</v>
      </c>
      <c r="I324" s="1367"/>
      <c r="J324" s="1367"/>
      <c r="K324" s="1367"/>
      <c r="L324" s="1367"/>
      <c r="M324" s="1367"/>
      <c r="N324" s="1395"/>
      <c r="O324" s="1395"/>
      <c r="P324" s="1395"/>
      <c r="Q324" s="1395"/>
      <c r="R324" s="1395"/>
      <c r="S324" s="3"/>
      <c r="T324" s="3" t="s">
        <v>77</v>
      </c>
      <c r="V324" s="3"/>
      <c r="W324" s="3"/>
      <c r="X324" s="3"/>
      <c r="Y324" s="3"/>
      <c r="AA324" s="1367" t="s">
        <v>2719</v>
      </c>
      <c r="AB324" s="1367"/>
      <c r="AC324" s="1367"/>
      <c r="AD324" s="1367"/>
      <c r="AE324" s="1367"/>
      <c r="AF324" s="1367"/>
      <c r="AG324" s="1395"/>
      <c r="AH324" s="1395"/>
      <c r="AI324" s="1395"/>
      <c r="AJ324" s="1395"/>
      <c r="AK324" s="1395"/>
    </row>
    <row r="325" spans="2:66" ht="12.9" customHeight="1">
      <c r="B325" s="3"/>
      <c r="C325" s="3"/>
      <c r="D325" s="3"/>
      <c r="E325" s="3"/>
      <c r="F325" s="3"/>
      <c r="G325" s="3"/>
      <c r="P325" s="163"/>
      <c r="Q325" s="163"/>
      <c r="R325" s="163"/>
      <c r="S325" s="163"/>
      <c r="T325" s="163"/>
      <c r="U325" s="163"/>
      <c r="V325" s="4"/>
      <c r="W325" s="4"/>
      <c r="X325" s="35"/>
      <c r="Y325" s="35"/>
      <c r="Z325" s="35"/>
    </row>
    <row r="326" spans="2:66" ht="12.9" customHeight="1">
      <c r="B326" s="3" t="s">
        <v>369</v>
      </c>
      <c r="C326" s="3"/>
      <c r="D326" s="3"/>
      <c r="E326" s="3"/>
      <c r="F326" s="3"/>
      <c r="H326" s="1395" t="s">
        <v>2714</v>
      </c>
      <c r="I326" s="1395"/>
      <c r="J326" s="1395"/>
      <c r="K326" s="1395"/>
      <c r="L326" s="1395"/>
      <c r="M326" s="1395"/>
      <c r="N326" s="1395"/>
      <c r="O326" s="1395"/>
      <c r="P326" s="1395"/>
      <c r="Q326" s="1395"/>
      <c r="R326" s="1395"/>
      <c r="T326" s="3" t="s">
        <v>370</v>
      </c>
      <c r="V326" s="3"/>
      <c r="W326" s="3"/>
      <c r="X326" s="3"/>
      <c r="Y326" s="3"/>
      <c r="AA326" s="1395"/>
      <c r="AB326" s="1395"/>
      <c r="AC326" s="1395"/>
      <c r="AD326" s="1395"/>
      <c r="AE326" s="1395"/>
      <c r="AF326" s="1395"/>
      <c r="AG326" s="1395"/>
      <c r="AH326" s="1395"/>
      <c r="AI326" s="1395"/>
      <c r="AJ326" s="1395"/>
      <c r="AK326" s="1395"/>
    </row>
    <row r="327" spans="2:66" ht="12.9" customHeight="1">
      <c r="B327" s="3" t="s">
        <v>481</v>
      </c>
      <c r="C327" s="3"/>
      <c r="D327" s="3"/>
      <c r="E327" s="3"/>
      <c r="F327" s="3"/>
      <c r="H327" s="1367" t="s">
        <v>2715</v>
      </c>
      <c r="I327" s="1367"/>
      <c r="J327" s="1367"/>
      <c r="K327" s="1367"/>
      <c r="L327" s="1367"/>
      <c r="M327" s="1367"/>
      <c r="N327" s="1367"/>
      <c r="O327" s="1367"/>
      <c r="P327" s="1367"/>
      <c r="Q327" s="1367"/>
      <c r="R327" s="1367"/>
      <c r="T327" s="3" t="s">
        <v>481</v>
      </c>
      <c r="V327" s="3"/>
      <c r="W327" s="3"/>
      <c r="X327" s="3"/>
      <c r="Y327" s="3"/>
      <c r="AA327" s="1367"/>
      <c r="AB327" s="1367"/>
      <c r="AC327" s="1367"/>
      <c r="AD327" s="1367"/>
      <c r="AE327" s="1367"/>
      <c r="AF327" s="1367"/>
      <c r="AG327" s="1367"/>
      <c r="AH327" s="1367"/>
      <c r="AI327" s="1367"/>
      <c r="AJ327" s="1367"/>
      <c r="AK327" s="1367"/>
    </row>
    <row r="328" spans="2:66" ht="12.9" customHeight="1">
      <c r="B328" s="3" t="s">
        <v>482</v>
      </c>
      <c r="C328" s="3"/>
      <c r="D328" s="3"/>
      <c r="E328" s="3"/>
      <c r="F328" s="3"/>
      <c r="H328" s="1367" t="s">
        <v>2716</v>
      </c>
      <c r="I328" s="1367"/>
      <c r="J328" s="1367"/>
      <c r="K328" s="1367"/>
      <c r="L328" s="1367"/>
      <c r="M328" s="1367"/>
      <c r="N328" s="1367"/>
      <c r="O328" s="1367"/>
      <c r="P328" s="1367"/>
      <c r="Q328" s="1367"/>
      <c r="R328" s="1367"/>
      <c r="T328" s="3" t="s">
        <v>76</v>
      </c>
      <c r="V328" s="3"/>
      <c r="W328" s="3"/>
      <c r="X328" s="3"/>
      <c r="Y328" s="3"/>
      <c r="AA328" s="1367"/>
      <c r="AB328" s="1367"/>
      <c r="AC328" s="1367"/>
      <c r="AD328" s="1367"/>
      <c r="AE328" s="1367"/>
      <c r="AF328" s="1367"/>
      <c r="AG328" s="1367"/>
      <c r="AH328" s="1367"/>
      <c r="AI328" s="1367"/>
      <c r="AJ328" s="1367"/>
      <c r="AK328" s="1367"/>
    </row>
    <row r="329" spans="2:66" ht="12.9" customHeight="1">
      <c r="B329" s="3" t="s">
        <v>88</v>
      </c>
      <c r="C329" s="3"/>
      <c r="D329" s="3"/>
      <c r="E329" s="3"/>
      <c r="F329" s="3"/>
      <c r="H329" s="1367" t="s">
        <v>2720</v>
      </c>
      <c r="I329" s="1367"/>
      <c r="J329" s="1367"/>
      <c r="K329" s="1367"/>
      <c r="L329" s="1367"/>
      <c r="M329" s="1367"/>
      <c r="N329" s="1367"/>
      <c r="O329" s="1367"/>
      <c r="P329" s="1367"/>
      <c r="Q329" s="1367"/>
      <c r="R329" s="1367"/>
      <c r="T329" s="3" t="s">
        <v>88</v>
      </c>
      <c r="V329" s="3"/>
      <c r="W329" s="3"/>
      <c r="X329" s="3"/>
      <c r="Y329" s="3"/>
      <c r="AA329" s="1367"/>
      <c r="AB329" s="1367"/>
      <c r="AC329" s="1367"/>
      <c r="AD329" s="1367"/>
      <c r="AE329" s="1367"/>
      <c r="AF329" s="1367"/>
      <c r="AG329" s="1367"/>
      <c r="AH329" s="1367"/>
      <c r="AI329" s="1367"/>
      <c r="AJ329" s="1367"/>
      <c r="AK329" s="1367"/>
    </row>
    <row r="330" spans="2:66" ht="12.9" customHeight="1">
      <c r="B330" s="3" t="s">
        <v>89</v>
      </c>
      <c r="C330" s="3"/>
      <c r="D330" s="3"/>
      <c r="E330" s="3"/>
      <c r="F330" s="3"/>
      <c r="G330" s="3"/>
      <c r="H330" s="1534">
        <v>5123400420</v>
      </c>
      <c r="I330" s="1534"/>
      <c r="J330" s="1534"/>
      <c r="K330" s="1534"/>
      <c r="L330" s="1534"/>
      <c r="M330" s="1534"/>
      <c r="N330" s="4" t="s">
        <v>208</v>
      </c>
      <c r="O330" s="4"/>
      <c r="P330" s="1532"/>
      <c r="Q330" s="1532"/>
      <c r="R330" s="1532"/>
      <c r="S330" s="3"/>
      <c r="T330" s="3" t="s">
        <v>89</v>
      </c>
      <c r="V330" s="3"/>
      <c r="W330" s="3"/>
      <c r="X330" s="3"/>
      <c r="Y330" s="3"/>
      <c r="AA330" s="1534"/>
      <c r="AB330" s="1534"/>
      <c r="AC330" s="1534"/>
      <c r="AD330" s="1534"/>
      <c r="AE330" s="1534"/>
      <c r="AF330" s="1534"/>
      <c r="AG330" s="4" t="s">
        <v>208</v>
      </c>
      <c r="AH330" s="4"/>
      <c r="AI330" s="1532"/>
      <c r="AJ330" s="1532"/>
      <c r="AK330" s="1532"/>
    </row>
    <row r="331" spans="2:66" ht="12.9" customHeight="1">
      <c r="B331" s="3" t="s">
        <v>90</v>
      </c>
      <c r="C331" s="3"/>
      <c r="D331" s="3"/>
      <c r="E331" s="3"/>
      <c r="F331" s="3"/>
      <c r="G331" s="3"/>
      <c r="H331" s="1436"/>
      <c r="I331" s="1436"/>
      <c r="J331" s="1436"/>
      <c r="K331" s="1436"/>
      <c r="L331" s="1436"/>
      <c r="M331" s="1436"/>
      <c r="N331" s="4"/>
      <c r="O331" s="4"/>
      <c r="P331" s="35"/>
      <c r="Q331" s="35"/>
      <c r="R331" s="35"/>
      <c r="S331" s="3"/>
      <c r="T331" s="3" t="s">
        <v>90</v>
      </c>
      <c r="V331" s="3"/>
      <c r="W331" s="3"/>
      <c r="X331" s="3"/>
      <c r="Y331" s="3"/>
      <c r="AA331" s="1436"/>
      <c r="AB331" s="1436"/>
      <c r="AC331" s="1436"/>
      <c r="AD331" s="1436"/>
      <c r="AE331" s="1436"/>
      <c r="AF331" s="1436"/>
      <c r="AG331" s="4"/>
      <c r="AH331" s="4"/>
      <c r="AI331" s="35"/>
      <c r="AJ331" s="35"/>
      <c r="AK331" s="35"/>
    </row>
    <row r="332" spans="2:66" ht="12.9" customHeight="1">
      <c r="B332" s="3" t="s">
        <v>77</v>
      </c>
      <c r="C332" s="3"/>
      <c r="D332" s="3"/>
      <c r="E332" s="3"/>
      <c r="F332" s="3"/>
      <c r="G332" s="3"/>
      <c r="H332" s="1367" t="s">
        <v>2721</v>
      </c>
      <c r="I332" s="1367"/>
      <c r="J332" s="1367"/>
      <c r="K332" s="1367"/>
      <c r="L332" s="1367"/>
      <c r="M332" s="1367"/>
      <c r="N332" s="1395"/>
      <c r="O332" s="1395"/>
      <c r="P332" s="1395"/>
      <c r="Q332" s="1395"/>
      <c r="R332" s="1395"/>
      <c r="S332" s="3"/>
      <c r="T332" s="3" t="s">
        <v>77</v>
      </c>
      <c r="V332" s="3"/>
      <c r="W332" s="3"/>
      <c r="X332" s="3"/>
      <c r="Y332" s="3"/>
      <c r="AA332" s="1367"/>
      <c r="AB332" s="1367"/>
      <c r="AC332" s="1367"/>
      <c r="AD332" s="1367"/>
      <c r="AE332" s="1367"/>
      <c r="AF332" s="1367"/>
      <c r="AG332" s="1395"/>
      <c r="AH332" s="1395"/>
      <c r="AI332" s="1395"/>
      <c r="AJ332" s="1395"/>
      <c r="AK332" s="1395"/>
    </row>
    <row r="333" spans="2:66" ht="12.9" customHeight="1">
      <c r="B333" s="3"/>
      <c r="C333" s="3"/>
      <c r="D333" s="3"/>
      <c r="E333" s="3"/>
      <c r="F333" s="3"/>
      <c r="G333" s="3"/>
      <c r="P333" s="163"/>
      <c r="Q333" s="163"/>
      <c r="R333" s="163"/>
      <c r="S333" s="163"/>
      <c r="T333" s="163"/>
      <c r="U333" s="163"/>
      <c r="V333" s="4"/>
      <c r="W333" s="4"/>
      <c r="X333" s="35"/>
      <c r="Y333" s="35"/>
      <c r="Z333" s="35"/>
    </row>
    <row r="334" spans="2:66" ht="12.9" customHeight="1">
      <c r="B334" s="3" t="s">
        <v>331</v>
      </c>
      <c r="C334" s="3"/>
      <c r="D334" s="3"/>
      <c r="E334" s="3"/>
      <c r="F334" s="3"/>
      <c r="H334" s="1395" t="s">
        <v>2678</v>
      </c>
      <c r="I334" s="1395"/>
      <c r="J334" s="1395"/>
      <c r="K334" s="1395"/>
      <c r="L334" s="1395"/>
      <c r="M334" s="1395"/>
      <c r="N334" s="1395"/>
      <c r="O334" s="1395"/>
      <c r="P334" s="1395"/>
      <c r="Q334" s="1395"/>
      <c r="R334" s="1395"/>
      <c r="T334" s="218" t="s">
        <v>916</v>
      </c>
      <c r="V334" s="3"/>
      <c r="W334" s="3"/>
      <c r="X334" s="3"/>
      <c r="Y334" s="3"/>
      <c r="AA334" s="1395" t="s">
        <v>2654</v>
      </c>
      <c r="AB334" s="1395"/>
      <c r="AC334" s="1395"/>
      <c r="AD334" s="1395"/>
      <c r="AE334" s="1395"/>
      <c r="AF334" s="1395"/>
      <c r="AG334" s="1395"/>
      <c r="AH334" s="1395"/>
      <c r="AI334" s="1395"/>
      <c r="AJ334" s="1395"/>
      <c r="AK334" s="1395"/>
    </row>
    <row r="335" spans="2:66" ht="12.9" customHeight="1">
      <c r="B335" s="3" t="s">
        <v>481</v>
      </c>
      <c r="C335" s="3"/>
      <c r="D335" s="3"/>
      <c r="E335" s="3"/>
      <c r="F335" s="3"/>
      <c r="H335" s="1367" t="s">
        <v>2679</v>
      </c>
      <c r="I335" s="1367"/>
      <c r="J335" s="1367"/>
      <c r="K335" s="1367"/>
      <c r="L335" s="1367"/>
      <c r="M335" s="1367"/>
      <c r="N335" s="1367"/>
      <c r="O335" s="1367"/>
      <c r="P335" s="1367"/>
      <c r="Q335" s="1367"/>
      <c r="R335" s="1367"/>
      <c r="T335" s="3" t="s">
        <v>481</v>
      </c>
      <c r="V335" s="3"/>
      <c r="W335" s="3"/>
      <c r="X335" s="3"/>
      <c r="Y335" s="3"/>
      <c r="AA335" s="1367" t="s">
        <v>2655</v>
      </c>
      <c r="AB335" s="1367"/>
      <c r="AC335" s="1367"/>
      <c r="AD335" s="1367"/>
      <c r="AE335" s="1367"/>
      <c r="AF335" s="1367"/>
      <c r="AG335" s="1367"/>
      <c r="AH335" s="1367"/>
      <c r="AI335" s="1367"/>
      <c r="AJ335" s="1367"/>
      <c r="AK335" s="1367"/>
    </row>
    <row r="336" spans="2:66" ht="12.9" customHeight="1">
      <c r="B336" s="3" t="s">
        <v>76</v>
      </c>
      <c r="C336" s="3"/>
      <c r="D336" s="3"/>
      <c r="E336" s="3"/>
      <c r="F336" s="3"/>
      <c r="H336" s="1367" t="s">
        <v>2680</v>
      </c>
      <c r="I336" s="1367"/>
      <c r="J336" s="1367"/>
      <c r="K336" s="1367"/>
      <c r="L336" s="1367"/>
      <c r="M336" s="1367"/>
      <c r="N336" s="1367"/>
      <c r="O336" s="1367"/>
      <c r="P336" s="1367"/>
      <c r="Q336" s="1367"/>
      <c r="R336" s="1367"/>
      <c r="T336" s="3" t="s">
        <v>76</v>
      </c>
      <c r="V336" s="3"/>
      <c r="W336" s="3"/>
      <c r="X336" s="3"/>
      <c r="Y336" s="3"/>
      <c r="AA336" s="1367" t="s">
        <v>2656</v>
      </c>
      <c r="AB336" s="1367"/>
      <c r="AC336" s="1367"/>
      <c r="AD336" s="1367"/>
      <c r="AE336" s="1367"/>
      <c r="AF336" s="1367"/>
      <c r="AG336" s="1367"/>
      <c r="AH336" s="1367"/>
      <c r="AI336" s="1367"/>
      <c r="AJ336" s="1367"/>
      <c r="AK336" s="1367"/>
    </row>
    <row r="337" spans="1:66" ht="12.9" customHeight="1">
      <c r="B337" s="3" t="s">
        <v>88</v>
      </c>
      <c r="C337" s="3"/>
      <c r="D337" s="3"/>
      <c r="E337" s="3"/>
      <c r="F337" s="3"/>
      <c r="G337" s="3"/>
      <c r="H337" s="1367" t="s">
        <v>2681</v>
      </c>
      <c r="I337" s="1367"/>
      <c r="J337" s="1367"/>
      <c r="K337" s="1367"/>
      <c r="L337" s="1367"/>
      <c r="M337" s="1367"/>
      <c r="N337" s="1367"/>
      <c r="O337" s="1367"/>
      <c r="P337" s="1367"/>
      <c r="Q337" s="1367"/>
      <c r="R337" s="1367"/>
      <c r="T337" s="3" t="s">
        <v>88</v>
      </c>
      <c r="V337" s="3"/>
      <c r="W337" s="3"/>
      <c r="X337" s="3"/>
      <c r="Y337" s="3"/>
      <c r="AA337" s="1367" t="s">
        <v>2657</v>
      </c>
      <c r="AB337" s="1367"/>
      <c r="AC337" s="1367"/>
      <c r="AD337" s="1367"/>
      <c r="AE337" s="1367"/>
      <c r="AF337" s="1367"/>
      <c r="AG337" s="1367"/>
      <c r="AH337" s="1367"/>
      <c r="AI337" s="1367"/>
      <c r="AJ337" s="1367"/>
      <c r="AK337" s="1367"/>
    </row>
    <row r="338" spans="1:66" ht="12.9" customHeight="1">
      <c r="B338" s="3" t="s">
        <v>89</v>
      </c>
      <c r="C338" s="3"/>
      <c r="D338" s="3"/>
      <c r="E338" s="3"/>
      <c r="F338" s="3"/>
      <c r="G338" s="3"/>
      <c r="H338" s="1533" t="s">
        <v>2682</v>
      </c>
      <c r="I338" s="1534"/>
      <c r="J338" s="1534"/>
      <c r="K338" s="1534"/>
      <c r="L338" s="1534"/>
      <c r="M338" s="1534"/>
      <c r="N338" s="4" t="s">
        <v>208</v>
      </c>
      <c r="O338" s="4"/>
      <c r="P338" s="1532"/>
      <c r="Q338" s="1532"/>
      <c r="R338" s="1532"/>
      <c r="S338" s="3"/>
      <c r="T338" s="3" t="s">
        <v>89</v>
      </c>
      <c r="V338" s="3"/>
      <c r="W338" s="3"/>
      <c r="X338" s="3"/>
      <c r="Y338" s="3"/>
      <c r="AA338" s="1534" t="s">
        <v>2658</v>
      </c>
      <c r="AB338" s="1534"/>
      <c r="AC338" s="1534"/>
      <c r="AD338" s="1534"/>
      <c r="AE338" s="1534"/>
      <c r="AF338" s="1534"/>
      <c r="AG338" s="4" t="s">
        <v>208</v>
      </c>
      <c r="AH338" s="4"/>
      <c r="AI338" s="1532"/>
      <c r="AJ338" s="1532"/>
      <c r="AK338" s="1532"/>
    </row>
    <row r="339" spans="1:66" ht="12.9" customHeight="1">
      <c r="B339" s="3" t="s">
        <v>90</v>
      </c>
      <c r="C339" s="3"/>
      <c r="D339" s="3"/>
      <c r="E339" s="3"/>
      <c r="F339" s="3"/>
      <c r="G339" s="3"/>
      <c r="H339" s="1436"/>
      <c r="I339" s="1436"/>
      <c r="J339" s="1436"/>
      <c r="K339" s="1436"/>
      <c r="L339" s="1436"/>
      <c r="M339" s="1436"/>
      <c r="N339" s="4"/>
      <c r="O339" s="4"/>
      <c r="P339" s="35"/>
      <c r="Q339" s="35"/>
      <c r="R339" s="35"/>
      <c r="S339" s="3"/>
      <c r="T339" s="3" t="s">
        <v>90</v>
      </c>
      <c r="V339" s="3"/>
      <c r="W339" s="3"/>
      <c r="X339" s="3"/>
      <c r="Y339" s="3"/>
      <c r="AA339" s="1436" t="s">
        <v>2659</v>
      </c>
      <c r="AB339" s="1436"/>
      <c r="AC339" s="1436"/>
      <c r="AD339" s="1436"/>
      <c r="AE339" s="1436"/>
      <c r="AF339" s="1436"/>
      <c r="AG339" s="4"/>
      <c r="AH339" s="4"/>
      <c r="AI339" s="35"/>
      <c r="AJ339" s="35"/>
      <c r="AK339" s="35"/>
    </row>
    <row r="340" spans="1:66" ht="12.9" customHeight="1">
      <c r="B340" s="3" t="s">
        <v>77</v>
      </c>
      <c r="C340" s="3"/>
      <c r="D340" s="3"/>
      <c r="E340" s="3"/>
      <c r="F340" s="3"/>
      <c r="G340" s="3"/>
      <c r="H340" s="1367" t="s">
        <v>2683</v>
      </c>
      <c r="I340" s="1367"/>
      <c r="J340" s="1367"/>
      <c r="K340" s="1367"/>
      <c r="L340" s="1367"/>
      <c r="M340" s="1367"/>
      <c r="N340" s="1395"/>
      <c r="O340" s="1395"/>
      <c r="P340" s="1395"/>
      <c r="Q340" s="1395"/>
      <c r="R340" s="1395"/>
      <c r="S340" s="3"/>
      <c r="T340" s="3" t="s">
        <v>77</v>
      </c>
      <c r="V340" s="3"/>
      <c r="W340" s="3"/>
      <c r="X340" s="3"/>
      <c r="Y340" s="3"/>
      <c r="AA340" s="1367" t="s">
        <v>2660</v>
      </c>
      <c r="AB340" s="1367"/>
      <c r="AC340" s="1367"/>
      <c r="AD340" s="1367"/>
      <c r="AE340" s="1367"/>
      <c r="AF340" s="1367"/>
      <c r="AG340" s="1395"/>
      <c r="AH340" s="1395"/>
      <c r="AI340" s="1395"/>
      <c r="AJ340" s="1395"/>
      <c r="AK340" s="1395"/>
    </row>
    <row r="341" spans="1:66" ht="12.9"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 customHeight="1">
      <c r="B342" s="3"/>
      <c r="C342" s="4"/>
      <c r="D342" s="4"/>
      <c r="E342" s="4"/>
      <c r="F342" s="4"/>
      <c r="I342" s="218" t="s">
        <v>917</v>
      </c>
      <c r="P342" s="1395"/>
      <c r="Q342" s="1395"/>
      <c r="R342" s="1395"/>
      <c r="S342" s="1395"/>
      <c r="T342" s="1395"/>
      <c r="U342" s="1395"/>
      <c r="V342" s="1395"/>
      <c r="W342" s="1395"/>
      <c r="X342" s="1395"/>
      <c r="Y342" s="1395"/>
      <c r="Z342" s="1395"/>
      <c r="AA342" s="1395"/>
      <c r="AB342" s="1395"/>
      <c r="AC342" s="1395"/>
      <c r="AD342" s="1395"/>
      <c r="AE342" s="1395"/>
      <c r="BN342" t="s">
        <v>601</v>
      </c>
    </row>
    <row r="343" spans="1:66" ht="12.9" customHeight="1">
      <c r="B343" s="4"/>
      <c r="C343" s="4"/>
      <c r="D343" s="4"/>
      <c r="E343" s="4"/>
      <c r="F343" s="4"/>
      <c r="I343" s="4" t="s">
        <v>481</v>
      </c>
      <c r="P343" s="1367"/>
      <c r="Q343" s="1367"/>
      <c r="R343" s="1367"/>
      <c r="S343" s="1367"/>
      <c r="T343" s="1367"/>
      <c r="U343" s="1367"/>
      <c r="V343" s="1367"/>
      <c r="W343" s="1367"/>
      <c r="X343" s="1367"/>
      <c r="Y343" s="1367"/>
      <c r="Z343" s="1367"/>
      <c r="AA343" s="1367"/>
      <c r="AB343" s="1367"/>
      <c r="AC343" s="1367"/>
      <c r="AD343" s="1367"/>
      <c r="AE343" s="1367"/>
      <c r="BN343" t="s">
        <v>679</v>
      </c>
    </row>
    <row r="344" spans="1:66" ht="12.9" customHeight="1">
      <c r="B344" s="4"/>
      <c r="C344" s="4"/>
      <c r="D344" s="4"/>
      <c r="E344" s="4"/>
      <c r="F344" s="4"/>
      <c r="I344" s="4" t="s">
        <v>76</v>
      </c>
      <c r="P344" s="1367"/>
      <c r="Q344" s="1367"/>
      <c r="R344" s="1367"/>
      <c r="S344" s="1367"/>
      <c r="T344" s="1367"/>
      <c r="U344" s="1367"/>
      <c r="V344" s="1367"/>
      <c r="W344" s="1367"/>
      <c r="X344" s="1367"/>
      <c r="Y344" s="1367"/>
      <c r="Z344" s="1367"/>
      <c r="AA344" s="1367"/>
      <c r="AB344" s="1367"/>
      <c r="AC344" s="1367"/>
      <c r="AD344" s="1367"/>
      <c r="AE344" s="1367"/>
      <c r="BN344" t="s">
        <v>555</v>
      </c>
    </row>
    <row r="345" spans="1:66" ht="12.9" customHeight="1">
      <c r="B345" s="4"/>
      <c r="C345" s="4"/>
      <c r="D345" s="4"/>
      <c r="E345" s="4"/>
      <c r="F345" s="4"/>
      <c r="G345" s="4"/>
      <c r="I345" s="4" t="s">
        <v>88</v>
      </c>
      <c r="P345" s="1367"/>
      <c r="Q345" s="1367"/>
      <c r="R345" s="1367"/>
      <c r="S345" s="1367"/>
      <c r="T345" s="1367"/>
      <c r="U345" s="1367"/>
      <c r="V345" s="1367"/>
      <c r="W345" s="1367"/>
      <c r="X345" s="1367"/>
      <c r="Y345" s="1367"/>
      <c r="Z345" s="1367"/>
      <c r="AA345" s="1367"/>
      <c r="AB345" s="1367"/>
      <c r="AC345" s="1367"/>
      <c r="AD345" s="1367"/>
      <c r="AE345" s="1367"/>
    </row>
    <row r="346" spans="1:66" ht="12.9" customHeight="1">
      <c r="B346" s="4"/>
      <c r="C346" s="4"/>
      <c r="D346" s="4"/>
      <c r="E346" s="4"/>
      <c r="F346" s="4"/>
      <c r="G346" s="4"/>
      <c r="H346" s="324"/>
      <c r="I346" s="4" t="s">
        <v>89</v>
      </c>
      <c r="P346" s="1436"/>
      <c r="Q346" s="1436"/>
      <c r="R346" s="1436"/>
      <c r="S346" s="1436"/>
      <c r="T346" s="1436"/>
      <c r="U346" s="1436"/>
      <c r="V346" s="1436"/>
      <c r="W346" s="1436"/>
      <c r="X346" s="1436"/>
      <c r="Y346" s="1436"/>
      <c r="Z346" s="1436"/>
      <c r="AA346" s="4" t="s">
        <v>208</v>
      </c>
      <c r="AB346" s="4"/>
      <c r="AC346" s="1462"/>
      <c r="AD346" s="1462"/>
      <c r="AE346" s="1462"/>
      <c r="AF346" s="324"/>
      <c r="AG346" s="4"/>
      <c r="AH346" s="4"/>
      <c r="AI346" s="4"/>
      <c r="AJ346" s="4"/>
      <c r="AK346" s="4"/>
    </row>
    <row r="347" spans="1:66" ht="12.9" customHeight="1">
      <c r="B347" s="4"/>
      <c r="C347" s="4"/>
      <c r="D347" s="4"/>
      <c r="E347" s="4"/>
      <c r="F347" s="4"/>
      <c r="G347" s="4"/>
      <c r="H347" s="324"/>
      <c r="I347" s="4" t="s">
        <v>90</v>
      </c>
      <c r="P347" s="1436"/>
      <c r="Q347" s="1436"/>
      <c r="R347" s="1436"/>
      <c r="S347" s="1436"/>
      <c r="T347" s="1436"/>
      <c r="U347" s="1436"/>
      <c r="V347" s="1436"/>
      <c r="W347" s="1436"/>
      <c r="X347" s="1436"/>
      <c r="Y347" s="1436"/>
      <c r="Z347" s="1436"/>
      <c r="AF347" s="324"/>
      <c r="AG347" s="4"/>
      <c r="AH347" s="4"/>
      <c r="AI347" s="35"/>
      <c r="AJ347" s="35"/>
      <c r="AK347" s="35"/>
    </row>
    <row r="348" spans="1:66" ht="12.9" customHeight="1">
      <c r="B348" s="4"/>
      <c r="C348" s="4"/>
      <c r="D348" s="4"/>
      <c r="E348" s="4"/>
      <c r="F348" s="4"/>
      <c r="G348" s="4"/>
      <c r="I348" s="4" t="s">
        <v>77</v>
      </c>
      <c r="P348" s="1395"/>
      <c r="Q348" s="1395"/>
      <c r="R348" s="1395"/>
      <c r="S348" s="1395"/>
      <c r="T348" s="1395"/>
      <c r="U348" s="1395"/>
      <c r="V348" s="1395"/>
      <c r="W348" s="1395"/>
      <c r="X348" s="1395"/>
      <c r="Y348" s="1395"/>
      <c r="Z348" s="1395"/>
      <c r="AA348" s="1395"/>
      <c r="AB348" s="1395"/>
      <c r="AC348" s="1395"/>
      <c r="AD348" s="1395"/>
      <c r="AE348" s="1395"/>
    </row>
    <row r="349" spans="1:66" ht="12.9" customHeight="1">
      <c r="T349" s="8"/>
      <c r="U349" s="8"/>
      <c r="V349" s="8"/>
      <c r="W349" s="8"/>
      <c r="X349" s="8"/>
      <c r="Y349" s="8"/>
      <c r="Z349" s="8"/>
    </row>
    <row r="350" spans="1:66" ht="12.9" customHeight="1">
      <c r="A350" s="1440" t="s">
        <v>552</v>
      </c>
      <c r="B350" s="1440"/>
      <c r="C350" s="1440"/>
      <c r="D350" s="1440"/>
      <c r="E350" s="1440"/>
      <c r="F350" s="1440"/>
      <c r="G350" s="1440"/>
      <c r="H350" s="1440"/>
      <c r="I350" s="1440"/>
      <c r="J350" s="1440"/>
      <c r="K350" s="1440"/>
      <c r="L350" s="1440"/>
      <c r="M350" s="1440"/>
      <c r="N350" s="1440"/>
      <c r="O350" s="1440"/>
      <c r="P350" s="1440"/>
      <c r="Q350" s="1440"/>
      <c r="R350" s="1440"/>
      <c r="S350" s="1440"/>
      <c r="T350" s="1440"/>
      <c r="U350" s="1440"/>
      <c r="V350" s="1440"/>
      <c r="W350" s="1440"/>
      <c r="X350" s="1440"/>
      <c r="Y350" s="1440"/>
      <c r="Z350" s="1440"/>
      <c r="AA350" s="1440"/>
      <c r="AB350" s="1440"/>
      <c r="AC350" s="1440"/>
      <c r="AD350" s="1440"/>
      <c r="AE350" s="1440"/>
      <c r="AF350" s="1440"/>
      <c r="AG350" s="1440"/>
      <c r="AH350" s="1440"/>
      <c r="AI350" s="1440"/>
      <c r="AJ350" s="1440"/>
      <c r="AK350" s="1440"/>
      <c r="AL350" s="1440"/>
      <c r="AM350" s="95"/>
      <c r="AN350" s="95"/>
      <c r="AO350" s="95"/>
      <c r="AP350" s="95"/>
      <c r="AQ350" s="95"/>
      <c r="AR350" s="95"/>
      <c r="AS350" s="95"/>
      <c r="AT350" s="95"/>
      <c r="AU350" s="95"/>
      <c r="AV350" s="95"/>
      <c r="AW350" s="95"/>
      <c r="AX350" s="95"/>
      <c r="AY350" s="95"/>
    </row>
    <row r="351" spans="1:66" ht="12.9" customHeight="1" thickBot="1">
      <c r="A351" s="1441"/>
      <c r="B351" s="1441"/>
      <c r="C351" s="1441"/>
      <c r="D351" s="1441"/>
      <c r="E351" s="1441"/>
      <c r="F351" s="1441"/>
      <c r="G351" s="1441"/>
      <c r="H351" s="1441"/>
      <c r="I351" s="1441"/>
      <c r="J351" s="1441"/>
      <c r="K351" s="1441"/>
      <c r="L351" s="1441"/>
      <c r="M351" s="1441"/>
      <c r="N351" s="1441"/>
      <c r="O351" s="1441"/>
      <c r="P351" s="1441"/>
      <c r="Q351" s="1441"/>
      <c r="R351" s="1441"/>
      <c r="S351" s="1441"/>
      <c r="T351" s="1441"/>
      <c r="U351" s="1441"/>
      <c r="V351" s="1441"/>
      <c r="W351" s="1441"/>
      <c r="X351" s="1441"/>
      <c r="Y351" s="1441"/>
      <c r="Z351" s="1441"/>
      <c r="AA351" s="1441"/>
      <c r="AB351" s="1441"/>
      <c r="AC351" s="1441"/>
      <c r="AD351" s="1441"/>
      <c r="AE351" s="1441"/>
      <c r="AF351" s="1441"/>
      <c r="AG351" s="1441"/>
      <c r="AH351" s="1441"/>
      <c r="AI351" s="1441"/>
      <c r="AJ351" s="1441"/>
      <c r="AK351" s="1441"/>
      <c r="AL351" s="1441"/>
      <c r="AM351" s="95"/>
      <c r="AN351" s="95"/>
      <c r="AO351" s="95"/>
      <c r="AP351" s="95"/>
      <c r="AQ351" s="95"/>
      <c r="AR351" s="95"/>
      <c r="AS351" s="95"/>
      <c r="AT351" s="95"/>
      <c r="AU351" s="95"/>
      <c r="AV351" s="95"/>
      <c r="AW351" s="95"/>
      <c r="AX351" s="95"/>
      <c r="AY351" s="95"/>
    </row>
    <row r="352" spans="1:66" ht="12.9"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 customHeight="1">
      <c r="A353" s="2" t="s">
        <v>321</v>
      </c>
      <c r="B353" s="2"/>
      <c r="C353" s="2" t="s">
        <v>807</v>
      </c>
    </row>
    <row r="354" spans="1:37" ht="12.9" customHeight="1">
      <c r="D354" s="3" t="s">
        <v>2518</v>
      </c>
      <c r="M354" s="1374" t="s">
        <v>555</v>
      </c>
      <c r="N354" s="1374"/>
      <c r="P354" t="s">
        <v>1829</v>
      </c>
      <c r="AJ354" s="1374" t="s">
        <v>601</v>
      </c>
      <c r="AK354" s="1374"/>
    </row>
    <row r="355" spans="1:37" ht="12.9" customHeight="1">
      <c r="D355" s="3" t="s">
        <v>1818</v>
      </c>
      <c r="M355" s="1374" t="s">
        <v>601</v>
      </c>
      <c r="N355" s="1374"/>
      <c r="P355" s="3" t="s">
        <v>1978</v>
      </c>
      <c r="AJ355" s="1430"/>
      <c r="AK355" s="1430"/>
    </row>
    <row r="356" spans="1:37" ht="12.9" customHeight="1">
      <c r="D356" s="3" t="s">
        <v>717</v>
      </c>
      <c r="M356" s="1374" t="s">
        <v>601</v>
      </c>
      <c r="N356" s="1374"/>
      <c r="P356" t="s">
        <v>1828</v>
      </c>
      <c r="AJ356" s="1374" t="s">
        <v>601</v>
      </c>
      <c r="AK356" s="1374"/>
    </row>
    <row r="357" spans="1:37" ht="12.9" customHeight="1">
      <c r="D357" s="3" t="s">
        <v>718</v>
      </c>
      <c r="M357" s="1374" t="s">
        <v>601</v>
      </c>
      <c r="N357" s="1374"/>
      <c r="Q357" s="4"/>
    </row>
    <row r="358" spans="1:37" ht="12.9" customHeight="1">
      <c r="Q358" s="4"/>
    </row>
    <row r="359" spans="1:37" ht="12.9" customHeight="1">
      <c r="Q359" s="4"/>
    </row>
    <row r="360" spans="1:37" ht="12.9" customHeight="1">
      <c r="A360" s="2" t="s">
        <v>586</v>
      </c>
      <c r="B360" s="2"/>
      <c r="C360" s="2" t="s">
        <v>562</v>
      </c>
      <c r="D360" s="2"/>
    </row>
    <row r="361" spans="1:37" ht="12.9"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 customHeight="1">
      <c r="D362" s="39" t="s">
        <v>187</v>
      </c>
      <c r="E362" s="40"/>
      <c r="F362" s="40"/>
      <c r="G362" s="40"/>
      <c r="H362" s="40"/>
      <c r="I362" s="40"/>
      <c r="J362" s="40"/>
      <c r="K362" s="40"/>
      <c r="L362" s="40"/>
      <c r="M362" s="40"/>
      <c r="N362" s="1374" t="s">
        <v>601</v>
      </c>
      <c r="O362" s="1374"/>
      <c r="P362" s="40"/>
      <c r="Q362" s="40"/>
      <c r="R362" s="40"/>
      <c r="S362" s="40"/>
      <c r="T362" s="40"/>
      <c r="U362" s="40"/>
      <c r="V362" s="40"/>
      <c r="W362" s="40"/>
      <c r="X362" s="40"/>
      <c r="Y362" s="40"/>
      <c r="Z362" s="40"/>
      <c r="AC362" s="40"/>
      <c r="AD362" s="40"/>
      <c r="AE362" s="40"/>
    </row>
    <row r="363" spans="1:37" ht="12.9" customHeight="1">
      <c r="E363" t="s">
        <v>372</v>
      </c>
      <c r="Y363" s="1374" t="s">
        <v>601</v>
      </c>
      <c r="Z363" s="1374"/>
    </row>
    <row r="364" spans="1:37" ht="12.9" customHeight="1">
      <c r="D364" s="4" t="s">
        <v>1017</v>
      </c>
      <c r="Q364" s="1395"/>
      <c r="R364" s="1395"/>
      <c r="S364" s="1395"/>
      <c r="T364" s="1395"/>
      <c r="U364" s="1395"/>
      <c r="V364" s="1395"/>
      <c r="W364" s="1395"/>
      <c r="X364" s="1395"/>
      <c r="Y364" s="1395"/>
      <c r="Z364" s="1395"/>
      <c r="AA364" s="1395"/>
      <c r="AB364" s="1395"/>
      <c r="AC364" s="1395"/>
      <c r="AD364" s="1395"/>
      <c r="AE364" s="1395"/>
      <c r="AF364" s="1395"/>
      <c r="AG364" s="1395"/>
    </row>
    <row r="365" spans="1:37" ht="12.9"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 customHeight="1">
      <c r="D366" t="s">
        <v>190</v>
      </c>
      <c r="E366" s="40"/>
      <c r="F366" s="40"/>
      <c r="G366" s="40"/>
      <c r="H366" s="40"/>
      <c r="I366" s="40"/>
      <c r="J366" s="1374" t="s">
        <v>601</v>
      </c>
      <c r="K366" s="1374"/>
      <c r="L366" s="40"/>
      <c r="M366" s="40"/>
      <c r="N366" s="40"/>
      <c r="O366" s="40"/>
      <c r="P366" s="40"/>
      <c r="Q366" s="40"/>
      <c r="R366" s="40"/>
      <c r="S366" s="40"/>
      <c r="T366" s="40"/>
      <c r="U366" s="40"/>
      <c r="V366" s="40"/>
      <c r="W366" s="40"/>
      <c r="X366" s="40"/>
      <c r="Y366" s="40"/>
      <c r="Z366" s="40"/>
      <c r="AC366" s="40"/>
      <c r="AD366" s="40"/>
      <c r="AE366" s="40"/>
    </row>
    <row r="367" spans="1:37" ht="12.9" customHeight="1">
      <c r="E367" s="1587" t="s">
        <v>719</v>
      </c>
      <c r="F367" s="1587"/>
      <c r="G367" s="1587"/>
      <c r="H367" s="1587"/>
      <c r="I367" s="1587"/>
      <c r="J367" s="1587"/>
      <c r="K367" s="1587"/>
      <c r="L367" s="1587"/>
      <c r="M367" s="1587"/>
      <c r="N367" s="1587"/>
      <c r="O367" s="1587"/>
      <c r="P367" s="1587"/>
      <c r="Q367" s="1587"/>
      <c r="R367" s="1587"/>
      <c r="S367" s="1587"/>
      <c r="T367" s="1587"/>
      <c r="U367" s="1587"/>
      <c r="V367" s="1587"/>
      <c r="W367" s="1587"/>
      <c r="X367" s="1587"/>
      <c r="Y367" s="1587"/>
      <c r="Z367" s="1587"/>
      <c r="AA367" s="1587"/>
      <c r="AB367" s="1587"/>
      <c r="AC367" s="1587"/>
      <c r="AD367" s="1587"/>
      <c r="AE367" s="1587"/>
      <c r="AF367" s="1587"/>
      <c r="AG367" s="1587"/>
      <c r="AH367" s="1587"/>
    </row>
    <row r="368" spans="1:37" ht="12.9" customHeight="1">
      <c r="E368" s="1587"/>
      <c r="F368" s="1587"/>
      <c r="G368" s="1587"/>
      <c r="H368" s="1587"/>
      <c r="I368" s="1587"/>
      <c r="J368" s="1587"/>
      <c r="K368" s="1587"/>
      <c r="L368" s="1587"/>
      <c r="M368" s="1587"/>
      <c r="N368" s="1587"/>
      <c r="O368" s="1587"/>
      <c r="P368" s="1587"/>
      <c r="Q368" s="1587"/>
      <c r="R368" s="1587"/>
      <c r="S368" s="1587"/>
      <c r="T368" s="1587"/>
      <c r="U368" s="1587"/>
      <c r="V368" s="1587"/>
      <c r="W368" s="1587"/>
      <c r="X368" s="1587"/>
      <c r="Y368" s="1587"/>
      <c r="Z368" s="1587"/>
      <c r="AA368" s="1587"/>
      <c r="AB368" s="1587"/>
      <c r="AC368" s="1587"/>
      <c r="AD368" s="1587"/>
      <c r="AE368" s="1587"/>
      <c r="AF368" s="1587"/>
      <c r="AG368" s="1587"/>
      <c r="AH368" s="1587"/>
    </row>
    <row r="369" spans="1:36" ht="12.9" customHeight="1">
      <c r="E369" s="4" t="s">
        <v>458</v>
      </c>
      <c r="F369" s="4"/>
      <c r="G369" s="4"/>
      <c r="H369" s="4"/>
      <c r="I369" s="4"/>
      <c r="J369" s="4"/>
      <c r="K369" s="4"/>
      <c r="L369" s="4"/>
      <c r="N369" s="1379"/>
      <c r="O369" s="1379"/>
      <c r="P369" s="1379"/>
      <c r="Q369" s="1379"/>
      <c r="R369" s="4"/>
      <c r="U369" s="4" t="s">
        <v>459</v>
      </c>
      <c r="V369" s="4"/>
      <c r="W369" s="4"/>
      <c r="X369" s="4"/>
      <c r="Y369" s="4"/>
      <c r="Z369" s="4"/>
      <c r="AA369" s="4"/>
      <c r="AB369" s="4"/>
      <c r="AC369" s="1379"/>
      <c r="AD369" s="1379"/>
      <c r="AE369" s="1379"/>
      <c r="AF369" s="1379"/>
    </row>
    <row r="370" spans="1:36" ht="12.9" customHeight="1">
      <c r="E370" s="4" t="s">
        <v>460</v>
      </c>
      <c r="F370" s="4"/>
      <c r="G370" s="4"/>
      <c r="H370" s="4"/>
      <c r="I370" s="4"/>
      <c r="J370" s="4"/>
      <c r="K370" s="4"/>
      <c r="L370" s="4"/>
      <c r="N370" s="1379"/>
      <c r="O370" s="1379"/>
      <c r="P370" s="1379"/>
      <c r="Q370" s="1379"/>
      <c r="R370" s="4"/>
      <c r="U370" s="4" t="s">
        <v>0</v>
      </c>
      <c r="V370" s="4"/>
      <c r="W370" s="4"/>
      <c r="X370" s="4"/>
      <c r="Y370" s="4"/>
      <c r="Z370" s="4"/>
      <c r="AA370" s="4"/>
      <c r="AB370" s="4"/>
      <c r="AC370" s="1379"/>
      <c r="AD370" s="1379"/>
      <c r="AE370" s="1379"/>
      <c r="AF370" s="1379"/>
    </row>
    <row r="371" spans="1:36" ht="12.9" customHeight="1">
      <c r="E371" s="4" t="s">
        <v>1</v>
      </c>
      <c r="F371" s="4"/>
      <c r="G371" s="4"/>
      <c r="H371" s="4"/>
      <c r="I371" s="4"/>
      <c r="J371" s="4"/>
      <c r="K371" s="4"/>
      <c r="L371" s="4"/>
      <c r="N371" s="1379"/>
      <c r="O371" s="1379"/>
      <c r="P371" s="1379"/>
      <c r="Q371" s="1379"/>
      <c r="R371" s="4"/>
      <c r="V371" s="4"/>
      <c r="W371" s="4"/>
      <c r="X371" s="4"/>
      <c r="Y371" s="4"/>
      <c r="Z371" s="4"/>
      <c r="AA371" s="4"/>
      <c r="AB371" s="4"/>
    </row>
    <row r="372" spans="1:36" ht="12.9" customHeight="1">
      <c r="E372" s="4" t="s">
        <v>2</v>
      </c>
      <c r="F372" s="4"/>
      <c r="G372" s="4"/>
      <c r="H372" s="4"/>
      <c r="I372" s="4"/>
      <c r="J372" s="4"/>
      <c r="K372" s="4"/>
      <c r="L372" s="4"/>
      <c r="N372" s="1437"/>
      <c r="O372" s="1437"/>
      <c r="P372" s="1437"/>
      <c r="Q372" s="1437"/>
      <c r="R372" s="1437"/>
      <c r="S372" s="1437"/>
      <c r="T372" s="1437"/>
      <c r="U372" s="1437"/>
      <c r="V372" s="1437"/>
      <c r="W372" s="1437"/>
      <c r="X372" s="1437"/>
      <c r="Y372" s="1437"/>
      <c r="Z372" s="1437"/>
      <c r="AA372" s="1437"/>
      <c r="AB372" s="1437"/>
      <c r="AC372" s="1437"/>
      <c r="AD372" s="1437"/>
      <c r="AE372" s="1437"/>
      <c r="AF372" s="1437"/>
    </row>
    <row r="373" spans="1:36" ht="12.9" customHeight="1">
      <c r="E373" s="4"/>
      <c r="F373" s="4"/>
      <c r="G373" s="4"/>
      <c r="H373" s="4"/>
      <c r="I373" s="4"/>
      <c r="J373" s="4"/>
      <c r="K373" s="4"/>
      <c r="L373" s="4"/>
      <c r="N373" s="1438"/>
      <c r="O373" s="1438"/>
      <c r="P373" s="1438"/>
      <c r="Q373" s="1438"/>
      <c r="R373" s="1438"/>
      <c r="S373" s="1438"/>
      <c r="T373" s="1438"/>
      <c r="U373" s="1438"/>
      <c r="V373" s="1438"/>
      <c r="W373" s="1438"/>
      <c r="X373" s="1438"/>
      <c r="Y373" s="1438"/>
      <c r="Z373" s="1438"/>
      <c r="AA373" s="1438"/>
      <c r="AB373" s="1438"/>
      <c r="AC373" s="1438"/>
      <c r="AD373" s="1438"/>
      <c r="AE373" s="1438"/>
      <c r="AF373" s="1438"/>
    </row>
    <row r="374" spans="1:36" ht="12.9" customHeight="1">
      <c r="C374" s="547"/>
      <c r="E374" s="4"/>
      <c r="F374" s="4"/>
      <c r="G374" s="4"/>
      <c r="H374" s="4"/>
      <c r="I374" s="4"/>
      <c r="J374" s="4"/>
      <c r="K374" s="4"/>
      <c r="L374" s="4"/>
    </row>
    <row r="375" spans="1:36" ht="12.9" customHeight="1">
      <c r="D375" s="2" t="s">
        <v>1014</v>
      </c>
      <c r="E375" s="2"/>
      <c r="F375" s="4"/>
      <c r="G375" s="4"/>
      <c r="H375" s="4"/>
      <c r="I375" s="4"/>
      <c r="J375" s="4"/>
      <c r="K375" s="4"/>
      <c r="L375" s="4"/>
    </row>
    <row r="376" spans="1:36" ht="12.9" customHeight="1">
      <c r="E376" s="4" t="s">
        <v>2501</v>
      </c>
      <c r="F376" s="4"/>
      <c r="G376" s="4"/>
      <c r="H376" s="4"/>
      <c r="I376" s="4"/>
      <c r="J376" s="4"/>
      <c r="K376" s="4"/>
      <c r="L376" s="4"/>
      <c r="N376" t="s">
        <v>2495</v>
      </c>
      <c r="R376" s="27" t="s">
        <v>307</v>
      </c>
      <c r="S376" s="1442"/>
      <c r="T376" s="1442"/>
      <c r="U376" s="1" t="s">
        <v>308</v>
      </c>
      <c r="V376" s="1442"/>
      <c r="W376" s="1442"/>
      <c r="Y376" t="s">
        <v>2495</v>
      </c>
      <c r="AC376" s="27" t="s">
        <v>307</v>
      </c>
      <c r="AD376" s="1442"/>
      <c r="AE376" s="1442"/>
      <c r="AF376" s="1" t="s">
        <v>308</v>
      </c>
      <c r="AG376" s="1442"/>
      <c r="AH376" s="1442"/>
    </row>
    <row r="377" spans="1:36" ht="12.9" customHeight="1">
      <c r="E377" s="4" t="s">
        <v>1043</v>
      </c>
      <c r="F377" s="4"/>
      <c r="G377" s="4"/>
      <c r="H377" s="4"/>
      <c r="I377" s="4"/>
      <c r="J377" s="4"/>
      <c r="K377" s="4"/>
      <c r="L377" s="4"/>
      <c r="N377" s="1442"/>
      <c r="O377" s="1442"/>
      <c r="P377" s="1442"/>
    </row>
    <row r="378" spans="1:36" ht="12.9" customHeight="1">
      <c r="E378" s="218" t="s">
        <v>2502</v>
      </c>
      <c r="F378" s="4"/>
      <c r="G378" s="4"/>
      <c r="H378" s="4"/>
      <c r="I378" s="4"/>
      <c r="J378" s="4"/>
      <c r="K378" s="4"/>
      <c r="L378" s="4"/>
      <c r="AG378" s="1467" t="s">
        <v>601</v>
      </c>
      <c r="AH378" s="1467"/>
    </row>
    <row r="379" spans="1:36" ht="12.9" customHeight="1">
      <c r="E379" s="4"/>
      <c r="F379" s="4"/>
      <c r="G379" s="4" t="s">
        <v>2503</v>
      </c>
      <c r="H379" s="4"/>
      <c r="I379" s="4"/>
      <c r="J379" s="4"/>
      <c r="K379" s="4"/>
      <c r="L379" s="4"/>
      <c r="AG379" s="1467" t="s">
        <v>601</v>
      </c>
      <c r="AH379" s="1467"/>
    </row>
    <row r="380" spans="1:36" ht="12.9" customHeight="1">
      <c r="E380" s="4"/>
      <c r="F380" s="4"/>
      <c r="G380" s="349" t="s">
        <v>1044</v>
      </c>
      <c r="H380" s="4"/>
      <c r="I380" s="4"/>
      <c r="J380" s="4"/>
      <c r="K380" s="4"/>
      <c r="L380" s="4"/>
      <c r="V380" s="1374" t="s">
        <v>601</v>
      </c>
      <c r="W380" s="1374"/>
      <c r="Y380" s="22" t="s">
        <v>1019</v>
      </c>
    </row>
    <row r="381" spans="1:36" ht="12.9" customHeight="1">
      <c r="E381" s="4" t="s">
        <v>1020</v>
      </c>
      <c r="F381" s="4"/>
      <c r="G381" s="4"/>
      <c r="H381" s="4"/>
      <c r="I381" s="4"/>
      <c r="J381" s="4"/>
      <c r="K381" s="4"/>
      <c r="L381" s="4"/>
      <c r="V381" s="1374" t="s">
        <v>601</v>
      </c>
      <c r="W381" s="1374"/>
      <c r="Y381" s="4" t="s">
        <v>1021</v>
      </c>
    </row>
    <row r="382" spans="1:36" ht="12.9" customHeight="1"/>
    <row r="383" spans="1:36" ht="12.9" customHeight="1">
      <c r="A383" s="2" t="s">
        <v>79</v>
      </c>
      <c r="B383" s="2"/>
    </row>
    <row r="384" spans="1:36" ht="12.9" customHeight="1">
      <c r="D384" t="s">
        <v>430</v>
      </c>
      <c r="J384" s="1395" t="s">
        <v>2731</v>
      </c>
      <c r="K384" s="1395"/>
      <c r="L384" s="1395"/>
      <c r="M384" s="1395"/>
      <c r="N384" s="1395"/>
      <c r="O384" s="1395"/>
      <c r="P384" s="1395"/>
      <c r="Q384" s="1395"/>
      <c r="R384" s="1395"/>
      <c r="S384" s="1395"/>
      <c r="T384" s="1395"/>
      <c r="U384" s="1395"/>
      <c r="V384" s="8" t="s">
        <v>84</v>
      </c>
      <c r="W384" s="8"/>
      <c r="X384" s="8"/>
      <c r="Y384" s="8"/>
      <c r="Z384" s="8"/>
      <c r="AA384" s="8"/>
      <c r="AB384" s="8"/>
      <c r="AC384" s="1395" t="s">
        <v>2732</v>
      </c>
      <c r="AD384" s="1395"/>
      <c r="AE384" s="1395"/>
      <c r="AF384" s="1395"/>
      <c r="AG384" s="1395"/>
      <c r="AH384" s="1395"/>
      <c r="AI384" s="1395"/>
      <c r="AJ384" s="1395"/>
    </row>
    <row r="385" spans="4:36" ht="12.9" customHeight="1">
      <c r="D385" s="3" t="s">
        <v>1324</v>
      </c>
      <c r="J385" s="1367" t="s">
        <v>2732</v>
      </c>
      <c r="K385" s="1367"/>
      <c r="L385" s="1367"/>
      <c r="M385" s="1367"/>
      <c r="N385" s="1367"/>
      <c r="O385" s="1367"/>
      <c r="P385" s="1367"/>
      <c r="Q385" s="1367"/>
      <c r="R385" s="1367"/>
      <c r="S385" s="1367"/>
      <c r="T385" s="1367"/>
      <c r="U385" s="1367"/>
      <c r="V385" s="3" t="s">
        <v>1324</v>
      </c>
      <c r="W385" s="8"/>
      <c r="X385" s="8"/>
      <c r="Y385" s="8"/>
      <c r="Z385" s="8"/>
      <c r="AA385" s="8"/>
      <c r="AB385" s="8"/>
      <c r="AC385" s="1395"/>
      <c r="AD385" s="1395"/>
      <c r="AE385" s="1395"/>
      <c r="AF385" s="1395"/>
      <c r="AG385" s="1395"/>
      <c r="AH385" s="1395"/>
      <c r="AI385" s="1395"/>
      <c r="AJ385" s="1395"/>
    </row>
    <row r="386" spans="4:36" ht="12.9" customHeight="1">
      <c r="D386" s="3" t="s">
        <v>445</v>
      </c>
      <c r="J386" s="1367" t="s">
        <v>2733</v>
      </c>
      <c r="K386" s="1367"/>
      <c r="L386" s="1367"/>
      <c r="M386" s="1367"/>
      <c r="N386" s="1367"/>
      <c r="O386" s="1367"/>
      <c r="P386" s="1367"/>
      <c r="Q386" s="1367"/>
      <c r="R386" s="1367"/>
      <c r="S386" s="1367"/>
      <c r="T386" s="1367"/>
      <c r="U386" s="1367"/>
      <c r="V386" s="3" t="s">
        <v>445</v>
      </c>
      <c r="W386" s="8"/>
      <c r="X386" s="8"/>
      <c r="Y386" s="8"/>
      <c r="Z386" s="8"/>
      <c r="AA386" s="8"/>
      <c r="AB386" s="8"/>
      <c r="AC386" s="1395"/>
      <c r="AD386" s="1395"/>
      <c r="AE386" s="1395"/>
      <c r="AF386" s="1395"/>
      <c r="AG386" s="1395"/>
      <c r="AH386" s="1395"/>
      <c r="AI386" s="1395"/>
      <c r="AJ386" s="1395"/>
    </row>
    <row r="387" spans="4:36" ht="12.9" customHeight="1">
      <c r="D387" t="s">
        <v>1320</v>
      </c>
      <c r="J387" s="1356" t="s">
        <v>2734</v>
      </c>
      <c r="K387" s="1356"/>
      <c r="L387" s="1356"/>
      <c r="M387" s="1356"/>
      <c r="N387" s="1356"/>
      <c r="O387" s="1356"/>
      <c r="P387" s="1356"/>
      <c r="Q387" s="1356"/>
      <c r="R387" s="1356"/>
      <c r="S387" s="1356"/>
      <c r="T387" s="1356"/>
      <c r="U387" s="1356"/>
      <c r="V387" s="1395"/>
      <c r="W387" s="1395"/>
      <c r="X387" s="1395"/>
      <c r="Y387" s="1395"/>
      <c r="Z387" s="1395"/>
      <c r="AA387" s="1395"/>
      <c r="AB387" s="1395"/>
      <c r="AC387" s="1395"/>
      <c r="AD387" s="1395"/>
      <c r="AE387" s="1395"/>
      <c r="AF387" s="1395"/>
      <c r="AG387" s="1395"/>
      <c r="AH387" s="1395"/>
      <c r="AI387" s="1395"/>
      <c r="AJ387" s="1395"/>
    </row>
    <row r="388" spans="4:36" ht="12.9" customHeight="1">
      <c r="D388" t="s">
        <v>4</v>
      </c>
      <c r="Q388" s="1745">
        <v>45174</v>
      </c>
      <c r="R388" s="1745"/>
      <c r="S388" s="1745"/>
      <c r="T388" s="1745"/>
      <c r="U388" s="1745"/>
      <c r="V388" t="s">
        <v>311</v>
      </c>
      <c r="AI388" s="1374" t="s">
        <v>679</v>
      </c>
      <c r="AJ388" s="1374"/>
    </row>
    <row r="389" spans="4:36" ht="12.9" customHeight="1">
      <c r="D389" t="s">
        <v>5</v>
      </c>
      <c r="Q389" s="1585">
        <v>45900</v>
      </c>
      <c r="R389" s="1586"/>
      <c r="S389" s="1586"/>
      <c r="T389" s="1586"/>
      <c r="U389" s="1586"/>
      <c r="W389" s="21" t="s">
        <v>75</v>
      </c>
      <c r="AG389" s="1435"/>
      <c r="AH389" s="1435"/>
      <c r="AI389" s="1435"/>
      <c r="AJ389" s="1435"/>
    </row>
    <row r="390" spans="4:36" ht="12.9" customHeight="1">
      <c r="D390" t="s">
        <v>429</v>
      </c>
      <c r="Q390" s="1584"/>
      <c r="R390" s="1584"/>
      <c r="S390" s="1584"/>
      <c r="T390" s="1584"/>
      <c r="U390" s="1584"/>
      <c r="V390" s="3" t="s">
        <v>1323</v>
      </c>
      <c r="AG390" s="1445"/>
      <c r="AH390" s="1445"/>
      <c r="AI390" s="1445"/>
      <c r="AJ390" s="1445"/>
    </row>
    <row r="391" spans="4:36" ht="12.9" customHeight="1">
      <c r="D391" t="s">
        <v>89</v>
      </c>
      <c r="I391" s="1534">
        <v>6196915031</v>
      </c>
      <c r="J391" s="1534"/>
      <c r="K391" s="1534"/>
      <c r="L391" s="1534"/>
      <c r="M391" s="1534"/>
      <c r="N391" s="1534"/>
      <c r="Q391" s="4" t="s">
        <v>208</v>
      </c>
      <c r="S391" s="1589"/>
      <c r="T391" s="1589"/>
      <c r="U391" s="1589"/>
      <c r="V391" t="s">
        <v>74</v>
      </c>
      <c r="AI391" s="1374" t="s">
        <v>679</v>
      </c>
      <c r="AJ391" s="1374"/>
    </row>
    <row r="392" spans="4:36" ht="12.9" customHeight="1">
      <c r="D392" t="s">
        <v>312</v>
      </c>
      <c r="Q392" s="1439"/>
      <c r="R392" s="1439"/>
      <c r="S392" s="1439"/>
      <c r="T392" s="1439"/>
      <c r="U392" s="1439"/>
      <c r="V392" t="s">
        <v>313</v>
      </c>
      <c r="AG392" s="1435"/>
      <c r="AH392" s="1435"/>
      <c r="AI392" s="1435"/>
      <c r="AJ392" s="1435"/>
    </row>
    <row r="393" spans="4:36" ht="12.9" customHeight="1">
      <c r="D393" t="s">
        <v>314</v>
      </c>
      <c r="Q393" s="1703">
        <v>0.01</v>
      </c>
      <c r="R393" s="1703"/>
      <c r="S393" s="1703"/>
      <c r="T393" s="1703"/>
      <c r="U393" s="1703"/>
      <c r="V393" t="s">
        <v>1304</v>
      </c>
      <c r="AG393" s="1435"/>
      <c r="AH393" s="1435"/>
      <c r="AI393" s="1435"/>
      <c r="AJ393" s="1435"/>
    </row>
    <row r="394" spans="4:36" ht="12.9" customHeight="1">
      <c r="D394" t="s">
        <v>1303</v>
      </c>
      <c r="AG394" s="1435"/>
      <c r="AH394" s="1435"/>
      <c r="AI394" s="1435"/>
      <c r="AJ394" s="1435"/>
    </row>
    <row r="395" spans="4:36" ht="12.9" customHeight="1">
      <c r="AG395" s="491"/>
      <c r="AH395" s="491"/>
      <c r="AI395" s="491"/>
      <c r="AJ395" s="491"/>
    </row>
    <row r="396" spans="4:36" ht="12.9" customHeight="1">
      <c r="D396" s="3" t="s">
        <v>2613</v>
      </c>
      <c r="AG396" s="491"/>
      <c r="AH396" s="491"/>
      <c r="AI396" s="1374" t="s">
        <v>679</v>
      </c>
      <c r="AJ396" s="1374"/>
    </row>
    <row r="397" spans="4:36" ht="12.9" customHeight="1">
      <c r="D397" s="3" t="s">
        <v>1847</v>
      </c>
      <c r="T397" s="1408"/>
      <c r="U397" s="1408"/>
      <c r="V397" s="1408"/>
      <c r="W397" s="1408"/>
      <c r="X397" s="1408"/>
      <c r="Y397" s="1408"/>
      <c r="Z397" s="1408"/>
      <c r="AA397" s="1408"/>
      <c r="AB397" s="1408"/>
      <c r="AC397" s="1408"/>
      <c r="AD397" s="1408"/>
      <c r="AE397" s="1408"/>
      <c r="AF397" s="1408"/>
      <c r="AG397" s="1408"/>
      <c r="AH397" s="1408"/>
      <c r="AI397" s="1408"/>
      <c r="AJ397" s="1408"/>
    </row>
    <row r="398" spans="4:36" ht="12.9" customHeight="1">
      <c r="D398" s="3" t="s">
        <v>1846</v>
      </c>
      <c r="T398" s="1408"/>
      <c r="U398" s="1408"/>
      <c r="V398" s="1408"/>
      <c r="W398" s="1408"/>
      <c r="X398" s="1408"/>
      <c r="Y398" s="1408"/>
      <c r="Z398" s="1408"/>
      <c r="AA398" s="1408"/>
      <c r="AB398" s="1408"/>
      <c r="AC398" s="1408"/>
      <c r="AD398" s="1408"/>
      <c r="AE398" s="1408"/>
      <c r="AF398" s="1408"/>
      <c r="AG398" s="1408"/>
      <c r="AH398" s="1408"/>
      <c r="AI398" s="1408"/>
      <c r="AJ398" s="1408"/>
    </row>
    <row r="399" spans="4:36" ht="12.9" customHeight="1">
      <c r="AG399" s="491"/>
      <c r="AH399" s="491"/>
      <c r="AI399" s="491"/>
      <c r="AJ399" s="491"/>
    </row>
    <row r="400" spans="4:36" ht="12.9" customHeight="1">
      <c r="D400" s="3" t="s">
        <v>1840</v>
      </c>
      <c r="S400" s="1408" t="s">
        <v>555</v>
      </c>
      <c r="T400" s="1408"/>
      <c r="U400" s="1408"/>
      <c r="V400" t="s">
        <v>1841</v>
      </c>
      <c r="AG400" s="1468">
        <v>55</v>
      </c>
      <c r="AH400" s="1468"/>
      <c r="AI400" s="1468"/>
      <c r="AJ400" s="1468"/>
    </row>
    <row r="401" spans="1:36" ht="12.9" customHeight="1">
      <c r="D401" s="3" t="s">
        <v>1838</v>
      </c>
      <c r="S401" s="1408" t="s">
        <v>555</v>
      </c>
      <c r="T401" s="1408"/>
      <c r="U401" s="1408"/>
      <c r="V401" t="s">
        <v>1843</v>
      </c>
      <c r="AE401" s="1469">
        <v>144545</v>
      </c>
      <c r="AF401" s="1469"/>
      <c r="AG401" s="1469"/>
      <c r="AH401" s="1469"/>
      <c r="AI401" s="1469"/>
      <c r="AJ401" s="1469"/>
    </row>
    <row r="402" spans="1:36" ht="12.9" customHeight="1">
      <c r="D402" s="3" t="s">
        <v>1839</v>
      </c>
      <c r="K402" s="1455"/>
      <c r="L402" s="1455"/>
      <c r="M402" s="1455"/>
      <c r="N402" s="1455"/>
      <c r="O402" s="1455"/>
      <c r="P402" s="1455"/>
      <c r="Q402" s="1455"/>
      <c r="R402" s="1455"/>
      <c r="S402" s="1455"/>
      <c r="T402" s="1455"/>
      <c r="U402" s="1455"/>
      <c r="V402" s="1455"/>
      <c r="W402" s="1455"/>
      <c r="X402" s="1455"/>
      <c r="Y402" s="1455"/>
      <c r="Z402" s="1455"/>
      <c r="AA402" s="1455"/>
      <c r="AB402" s="1455"/>
      <c r="AC402" s="1455"/>
      <c r="AD402" s="1455"/>
      <c r="AE402" s="1455"/>
      <c r="AF402" s="1455"/>
      <c r="AG402" s="1455"/>
      <c r="AH402" s="1455"/>
      <c r="AI402" s="1455"/>
      <c r="AJ402" s="1455"/>
    </row>
    <row r="403" spans="1:36" ht="12.9" customHeight="1">
      <c r="D403" s="3" t="s">
        <v>1842</v>
      </c>
      <c r="K403" s="1455" t="s">
        <v>2731</v>
      </c>
      <c r="L403" s="1455"/>
      <c r="M403" s="1455"/>
      <c r="N403" s="1455"/>
      <c r="O403" s="1455"/>
      <c r="P403" s="1455"/>
      <c r="Q403" s="1455"/>
      <c r="R403" s="1455"/>
      <c r="S403" s="1455"/>
      <c r="T403" s="1455"/>
      <c r="U403" s="1455"/>
      <c r="V403" s="1455"/>
      <c r="W403" s="1455"/>
      <c r="X403" s="1455"/>
      <c r="Y403" s="1455"/>
      <c r="Z403" s="1455"/>
      <c r="AA403" s="1455"/>
      <c r="AB403" s="1455"/>
      <c r="AC403" s="1455"/>
      <c r="AD403" s="1455"/>
      <c r="AE403" s="1455"/>
      <c r="AF403" s="1455"/>
      <c r="AG403" s="1455"/>
      <c r="AH403" s="1455"/>
      <c r="AI403" s="1455"/>
      <c r="AJ403" s="1455"/>
    </row>
    <row r="404" spans="1:36" ht="12.9" customHeight="1">
      <c r="D404" s="3" t="s">
        <v>1845</v>
      </c>
      <c r="E404" s="512"/>
      <c r="F404" s="512"/>
      <c r="G404" s="512"/>
      <c r="H404" s="512"/>
      <c r="I404" s="512"/>
      <c r="J404" s="512"/>
      <c r="K404" s="512"/>
      <c r="L404" s="512"/>
      <c r="M404" s="512"/>
      <c r="N404" s="512"/>
      <c r="O404" s="512"/>
      <c r="P404" s="512"/>
      <c r="Q404" s="512"/>
      <c r="R404" s="512"/>
      <c r="S404" s="1530" t="s">
        <v>2735</v>
      </c>
      <c r="T404" s="1530"/>
      <c r="U404" s="1530"/>
      <c r="V404" s="1530"/>
      <c r="W404" s="1530"/>
      <c r="X404" s="1530"/>
      <c r="Y404" s="1530"/>
      <c r="Z404" s="1530"/>
      <c r="AA404" s="1530"/>
      <c r="AB404" s="1530"/>
      <c r="AC404" s="1530"/>
      <c r="AD404" s="1530"/>
      <c r="AE404" s="1530"/>
      <c r="AF404" s="1530"/>
      <c r="AG404" s="1530"/>
      <c r="AH404" s="1530"/>
      <c r="AI404" s="1530"/>
      <c r="AJ404" s="1530"/>
    </row>
    <row r="405" spans="1:36" ht="12.9" customHeight="1">
      <c r="D405" s="1267" t="s">
        <v>1844</v>
      </c>
      <c r="E405" s="1267"/>
      <c r="F405" s="1267"/>
      <c r="G405" s="1267"/>
      <c r="H405" s="1267"/>
      <c r="I405" s="1267"/>
      <c r="J405" s="1267"/>
      <c r="K405" s="1267"/>
      <c r="L405" s="1267"/>
      <c r="M405" s="1267"/>
      <c r="N405" s="1267"/>
      <c r="O405" s="1267"/>
      <c r="P405" s="1267"/>
      <c r="Q405" s="1267"/>
      <c r="R405" s="1267"/>
      <c r="S405" s="1267"/>
      <c r="T405" s="1267"/>
      <c r="U405" s="1267"/>
      <c r="V405" s="1267"/>
      <c r="W405" s="1267"/>
      <c r="X405" s="1267"/>
      <c r="Y405" s="1267"/>
      <c r="Z405" s="1267"/>
      <c r="AA405" s="1267"/>
      <c r="AB405" s="1267"/>
      <c r="AC405" s="1267"/>
      <c r="AD405" s="1267"/>
      <c r="AE405" s="1267"/>
      <c r="AF405" s="1267"/>
      <c r="AG405" s="1267"/>
      <c r="AH405" s="1267"/>
      <c r="AI405" s="1267"/>
      <c r="AJ405" s="1267"/>
    </row>
    <row r="406" spans="1:36" ht="12.9" customHeight="1">
      <c r="D406" s="1267"/>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 customHeight="1">
      <c r="AG407" s="491"/>
      <c r="AH407" s="491"/>
      <c r="AI407" s="491"/>
      <c r="AJ407" s="491"/>
    </row>
    <row r="408" spans="1:36" ht="12.9" customHeight="1">
      <c r="A408" s="2" t="s">
        <v>599</v>
      </c>
      <c r="B408" s="2"/>
      <c r="C408" s="2" t="s">
        <v>112</v>
      </c>
    </row>
    <row r="409" spans="1:36" ht="12.9" customHeight="1">
      <c r="B409" s="2"/>
      <c r="C409" s="2"/>
      <c r="D409" s="2" t="s">
        <v>1346</v>
      </c>
      <c r="I409" s="1510" t="s">
        <v>2722</v>
      </c>
      <c r="J409" s="1510"/>
      <c r="K409" s="1510"/>
      <c r="L409" s="1510"/>
      <c r="M409" s="1510"/>
      <c r="N409" s="1510"/>
      <c r="O409" s="1510"/>
      <c r="P409" s="1510"/>
      <c r="Q409" s="1510"/>
      <c r="R409" s="1510"/>
      <c r="S409" s="1510"/>
      <c r="T409" s="1510"/>
      <c r="U409" s="1510"/>
      <c r="V409" s="1510"/>
      <c r="W409" s="1510"/>
      <c r="X409" s="1510"/>
      <c r="Y409" s="1510"/>
      <c r="Z409" s="1510"/>
      <c r="AA409" s="1510"/>
      <c r="AB409" s="1510"/>
      <c r="AC409" s="1510"/>
      <c r="AD409" s="1510"/>
      <c r="AE409" s="1510"/>
    </row>
    <row r="410" spans="1:36" ht="12.9" customHeight="1">
      <c r="E410" t="s">
        <v>107</v>
      </c>
      <c r="R410" s="1374" t="s">
        <v>555</v>
      </c>
      <c r="S410" s="1374"/>
      <c r="T410" t="s">
        <v>580</v>
      </c>
      <c r="AD410" s="1379">
        <v>4</v>
      </c>
      <c r="AE410" s="1379"/>
    </row>
    <row r="411" spans="1:36" ht="12.9" customHeight="1">
      <c r="E411" t="s">
        <v>108</v>
      </c>
      <c r="R411" s="1374" t="s">
        <v>601</v>
      </c>
      <c r="S411" s="1374"/>
      <c r="T411" t="s">
        <v>580</v>
      </c>
      <c r="AD411" s="1379">
        <v>0</v>
      </c>
      <c r="AE411" s="1379"/>
    </row>
    <row r="412" spans="1:36" ht="12.9" customHeight="1">
      <c r="E412" t="s">
        <v>109</v>
      </c>
      <c r="S412" s="1374" t="s">
        <v>601</v>
      </c>
      <c r="T412" s="1374"/>
    </row>
    <row r="413" spans="1:36" ht="12.9" customHeight="1">
      <c r="E413" t="s">
        <v>171</v>
      </c>
      <c r="H413" s="1701" t="s">
        <v>336</v>
      </c>
      <c r="I413" s="1701"/>
      <c r="J413" s="1701"/>
      <c r="K413" s="1701"/>
      <c r="L413" s="1701"/>
      <c r="M413" s="1701"/>
      <c r="N413" s="1701"/>
      <c r="O413" s="1701"/>
      <c r="P413" s="1701"/>
      <c r="Q413" s="1701"/>
      <c r="R413" s="1701"/>
      <c r="S413" s="1701"/>
      <c r="T413" s="1701"/>
      <c r="U413" s="1701"/>
      <c r="V413" s="1701"/>
      <c r="W413" s="1701"/>
      <c r="X413" s="1701"/>
      <c r="Y413" s="1701"/>
      <c r="Z413" s="1701"/>
      <c r="AA413" s="1701"/>
      <c r="AB413" s="1701"/>
      <c r="AC413" s="1701"/>
      <c r="AD413" s="1701"/>
      <c r="AE413" s="1701"/>
    </row>
    <row r="414" spans="1:36" ht="12.9" customHeight="1">
      <c r="H414" s="1702"/>
      <c r="I414" s="1702"/>
      <c r="J414" s="1702"/>
      <c r="K414" s="1702"/>
      <c r="L414" s="1702"/>
      <c r="M414" s="1702"/>
      <c r="N414" s="1702"/>
      <c r="O414" s="1702"/>
      <c r="P414" s="1702"/>
      <c r="Q414" s="1702"/>
      <c r="R414" s="1702"/>
      <c r="S414" s="1702"/>
      <c r="T414" s="1702"/>
      <c r="U414" s="1702"/>
      <c r="V414" s="1702"/>
      <c r="W414" s="1702"/>
      <c r="X414" s="1702"/>
      <c r="Y414" s="1702"/>
      <c r="Z414" s="1702"/>
      <c r="AA414" s="1702"/>
      <c r="AB414" s="1702"/>
      <c r="AC414" s="1702"/>
      <c r="AD414" s="1702"/>
      <c r="AE414" s="1702"/>
    </row>
    <row r="415" spans="1:36" ht="12.9" customHeight="1"/>
    <row r="416" spans="1:36" ht="12.9" customHeight="1">
      <c r="A416" s="2" t="s">
        <v>600</v>
      </c>
      <c r="B416" s="2"/>
      <c r="C416" s="2"/>
      <c r="D416" s="2" t="s">
        <v>115</v>
      </c>
      <c r="AF416" s="2" t="s">
        <v>997</v>
      </c>
    </row>
    <row r="417" spans="1:39" ht="12.9" customHeight="1">
      <c r="E417" s="1442"/>
      <c r="F417" s="1442"/>
      <c r="G417" s="1442"/>
      <c r="H417" s="13" t="s">
        <v>116</v>
      </c>
      <c r="I417" s="1442"/>
      <c r="J417" s="1442"/>
      <c r="K417" s="1442"/>
      <c r="L417" t="s">
        <v>117</v>
      </c>
      <c r="N417" s="27" t="s">
        <v>585</v>
      </c>
      <c r="P417" s="1588">
        <v>9.4</v>
      </c>
      <c r="Q417" s="1588"/>
      <c r="R417" s="1588"/>
      <c r="S417" t="s">
        <v>118</v>
      </c>
      <c r="W417" s="1365">
        <f>IF(E417&gt;0,(E417*I417),(P417*43560))</f>
        <v>409464</v>
      </c>
      <c r="X417" s="1365"/>
      <c r="Y417" s="1365"/>
      <c r="Z417" t="s">
        <v>119</v>
      </c>
      <c r="AF417" s="1529">
        <f>IF(P417&gt;0,(AG436/P417),(AG436/(W417/43560)))</f>
        <v>24.25531914893617</v>
      </c>
      <c r="AG417" s="1529"/>
      <c r="AH417" s="1529"/>
      <c r="AM417" s="3"/>
    </row>
    <row r="418" spans="1:39" ht="12.9" customHeight="1">
      <c r="E418" t="s">
        <v>51</v>
      </c>
    </row>
    <row r="419" spans="1:39" ht="12.9" customHeight="1">
      <c r="E419" s="1526"/>
      <c r="F419" s="1526"/>
      <c r="G419" s="1526"/>
      <c r="H419" s="1526"/>
      <c r="I419" s="1526"/>
      <c r="J419" s="1526"/>
      <c r="K419" s="1526"/>
      <c r="L419" s="1526"/>
      <c r="M419" s="1526"/>
      <c r="N419" s="1526"/>
      <c r="O419" s="1526"/>
      <c r="P419" s="1526"/>
      <c r="Q419" s="1526"/>
      <c r="R419" s="1526"/>
      <c r="S419" s="1526"/>
      <c r="T419" s="1526"/>
      <c r="U419" s="1526"/>
      <c r="V419" s="1526"/>
      <c r="W419" s="1526"/>
      <c r="X419" s="1526"/>
      <c r="Y419" s="1526"/>
      <c r="Z419" s="1526"/>
      <c r="AA419" s="1526"/>
      <c r="AB419" s="1526"/>
      <c r="AC419" s="1526"/>
      <c r="AD419" s="1526"/>
      <c r="AE419" s="1526"/>
      <c r="AF419" s="1526"/>
      <c r="AG419" s="1526"/>
      <c r="AH419" s="1526"/>
      <c r="AI419" s="1526"/>
      <c r="AJ419" s="1526"/>
    </row>
    <row r="420" spans="1:39" ht="12.9" customHeight="1">
      <c r="E420" s="118" t="s">
        <v>1995</v>
      </c>
      <c r="F420" s="1050"/>
      <c r="G420" s="1050"/>
      <c r="H420" s="1050"/>
      <c r="I420" s="1712">
        <v>4.1100000000000003</v>
      </c>
      <c r="J420" s="1712"/>
      <c r="K420" s="1712"/>
      <c r="L420" s="1050"/>
      <c r="M420" s="118"/>
      <c r="N420" s="1050"/>
      <c r="O420" s="1050"/>
      <c r="P420" s="1735">
        <f>(CS623+CS631+CS647)/I420</f>
        <v>99.999999999999986</v>
      </c>
      <c r="Q420" s="1735"/>
      <c r="R420" s="1735"/>
      <c r="S420" s="118" t="s">
        <v>1996</v>
      </c>
      <c r="T420" s="1050"/>
      <c r="U420" s="1050"/>
      <c r="V420" s="1050"/>
      <c r="W420" s="1050"/>
      <c r="X420" s="1050"/>
      <c r="Y420" s="1050"/>
      <c r="Z420" s="1050"/>
      <c r="AA420" s="1050"/>
      <c r="AB420" s="1050"/>
      <c r="AC420" s="1050"/>
      <c r="AD420" s="1050"/>
      <c r="AE420" s="1050"/>
      <c r="AF420" s="1050"/>
      <c r="AG420" s="1050"/>
      <c r="AH420" s="1050"/>
      <c r="AI420" s="1050"/>
      <c r="AJ420" s="1050"/>
    </row>
    <row r="421" spans="1:39" ht="12.9" customHeight="1"/>
    <row r="422" spans="1:39" ht="12.9" customHeight="1">
      <c r="A422" s="2" t="s">
        <v>602</v>
      </c>
      <c r="B422" s="2"/>
      <c r="C422" s="2"/>
      <c r="D422" s="2" t="s">
        <v>121</v>
      </c>
    </row>
    <row r="423" spans="1:39" ht="12.9" customHeight="1">
      <c r="E423" t="s">
        <v>122</v>
      </c>
      <c r="P423" s="1374">
        <v>3</v>
      </c>
      <c r="Q423" s="1374"/>
      <c r="S423" t="s">
        <v>191</v>
      </c>
      <c r="AE423" s="1374">
        <v>3</v>
      </c>
      <c r="AF423" s="1374"/>
    </row>
    <row r="424" spans="1:39" ht="12.9" customHeight="1">
      <c r="E424" t="s">
        <v>192</v>
      </c>
      <c r="P424" s="1374">
        <v>0</v>
      </c>
      <c r="Q424" s="1374"/>
      <c r="S424" t="s">
        <v>132</v>
      </c>
      <c r="AE424" s="1374" t="s">
        <v>601</v>
      </c>
      <c r="AF424" s="1374"/>
    </row>
    <row r="425" spans="1:39" ht="12.9" customHeight="1">
      <c r="F425" s="28" t="s">
        <v>133</v>
      </c>
    </row>
    <row r="426" spans="1:39" ht="12.9" customHeight="1">
      <c r="F426" s="1443"/>
      <c r="G426" s="1443"/>
      <c r="H426" s="1443"/>
      <c r="I426" s="1443"/>
      <c r="J426" s="1443"/>
      <c r="K426" s="1443"/>
      <c r="L426" s="1443"/>
      <c r="M426" s="1443"/>
      <c r="N426" s="1443"/>
      <c r="O426" s="1443"/>
      <c r="P426" s="1443"/>
      <c r="Q426" s="1443"/>
      <c r="R426" s="1443"/>
      <c r="S426" s="1443"/>
      <c r="T426" s="1443"/>
      <c r="U426" s="1443"/>
      <c r="V426" s="1443"/>
      <c r="W426" s="1443"/>
      <c r="X426" s="1443"/>
      <c r="Y426" s="1443"/>
      <c r="Z426" s="1443"/>
      <c r="AA426" s="1443"/>
      <c r="AB426" s="1443"/>
      <c r="AC426" s="1443"/>
      <c r="AD426" s="1443"/>
      <c r="AE426" s="1443"/>
      <c r="AF426" s="1443"/>
      <c r="AG426" s="1443"/>
      <c r="AH426" s="1443"/>
    </row>
    <row r="427" spans="1:39" ht="12.9" customHeight="1">
      <c r="F427" s="1444"/>
      <c r="G427" s="1444"/>
      <c r="H427" s="1444"/>
      <c r="I427" s="1444"/>
      <c r="J427" s="1444"/>
      <c r="K427" s="1444"/>
      <c r="L427" s="1444"/>
      <c r="M427" s="1444"/>
      <c r="N427" s="1444"/>
      <c r="O427" s="1444"/>
      <c r="P427" s="1444"/>
      <c r="Q427" s="1444"/>
      <c r="R427" s="1444"/>
      <c r="S427" s="1444"/>
      <c r="T427" s="1444"/>
      <c r="U427" s="1444"/>
      <c r="V427" s="1444"/>
      <c r="W427" s="1444"/>
      <c r="X427" s="1444"/>
      <c r="Y427" s="1444"/>
      <c r="Z427" s="1444"/>
      <c r="AA427" s="1444"/>
      <c r="AB427" s="1444"/>
      <c r="AC427" s="1444"/>
      <c r="AD427" s="1444"/>
      <c r="AE427" s="1444"/>
      <c r="AF427" s="1444"/>
      <c r="AG427" s="1444"/>
      <c r="AH427" s="1444"/>
    </row>
    <row r="428" spans="1:39" ht="12.9" customHeight="1">
      <c r="E428" t="s">
        <v>618</v>
      </c>
      <c r="P428" s="1"/>
      <c r="Q428" s="1374" t="s">
        <v>555</v>
      </c>
      <c r="R428" s="1374"/>
    </row>
    <row r="429" spans="1:39" ht="12.9" customHeight="1">
      <c r="F429" t="s">
        <v>619</v>
      </c>
      <c r="P429" s="1"/>
      <c r="Q429" s="1"/>
      <c r="AF429" s="1374" t="s">
        <v>601</v>
      </c>
      <c r="AG429" s="1564"/>
    </row>
    <row r="430" spans="1:39" ht="12.9" customHeight="1"/>
    <row r="431" spans="1:39" ht="12.9" customHeight="1">
      <c r="A431" s="2"/>
      <c r="B431" s="2"/>
      <c r="C431" s="2"/>
      <c r="E431" s="4" t="s">
        <v>310</v>
      </c>
      <c r="Z431" s="1374" t="s">
        <v>679</v>
      </c>
      <c r="AA431" s="1374"/>
    </row>
    <row r="432" spans="1:39" ht="12.9"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 customHeight="1">
      <c r="F433" t="s">
        <v>720</v>
      </c>
      <c r="G433" s="40"/>
      <c r="I433" s="40"/>
      <c r="J433" s="40"/>
      <c r="K433" s="40"/>
      <c r="L433" s="40"/>
      <c r="M433" s="40"/>
      <c r="N433" s="40"/>
      <c r="O433" s="28"/>
      <c r="P433" s="40"/>
      <c r="Q433" s="40"/>
      <c r="R433" s="40"/>
      <c r="S433" s="40"/>
      <c r="T433" s="40"/>
      <c r="U433" s="40"/>
      <c r="V433" s="40"/>
      <c r="W433" s="40"/>
      <c r="Z433" s="1374" t="s">
        <v>601</v>
      </c>
      <c r="AA433" s="1374"/>
    </row>
    <row r="434" spans="1:110" ht="12.9" customHeight="1"/>
    <row r="435" spans="1:110" ht="12.9" customHeight="1">
      <c r="A435" s="2" t="s">
        <v>477</v>
      </c>
      <c r="B435" s="2"/>
      <c r="C435" s="2"/>
      <c r="D435" s="2" t="s">
        <v>789</v>
      </c>
      <c r="AF435" s="48"/>
    </row>
    <row r="436" spans="1:110" ht="12.9" customHeight="1">
      <c r="D436" s="1423" t="s">
        <v>43</v>
      </c>
      <c r="E436" s="1424"/>
      <c r="F436" s="1424"/>
      <c r="G436" s="1424"/>
      <c r="H436" s="1424"/>
      <c r="I436" s="1424"/>
      <c r="J436" s="1424"/>
      <c r="K436" s="1424"/>
      <c r="L436" s="1424"/>
      <c r="M436" s="1424"/>
      <c r="N436" s="1424"/>
      <c r="O436" s="1424"/>
      <c r="P436" s="1424"/>
      <c r="Q436" s="1424"/>
      <c r="R436" s="1424"/>
      <c r="S436" s="1424"/>
      <c r="T436" s="1424"/>
      <c r="U436" s="1424"/>
      <c r="V436" s="1424"/>
      <c r="W436" s="1424"/>
      <c r="X436" s="1424"/>
      <c r="Y436" s="1424"/>
      <c r="Z436" s="1424"/>
      <c r="AA436" s="1424"/>
      <c r="AB436" s="1424"/>
      <c r="AC436" s="1424"/>
      <c r="AD436" s="1424"/>
      <c r="AE436" s="1424"/>
      <c r="AF436" s="1425"/>
      <c r="AG436" s="1358">
        <v>228</v>
      </c>
      <c r="AH436" s="1358"/>
      <c r="AI436" s="1358"/>
      <c r="AJ436" s="1358"/>
    </row>
    <row r="437" spans="1:110" ht="12.9" customHeight="1">
      <c r="D437" s="1362" t="s">
        <v>1368</v>
      </c>
      <c r="E437" s="1363"/>
      <c r="F437" s="1363"/>
      <c r="G437" s="1363"/>
      <c r="H437" s="1363"/>
      <c r="I437" s="1363"/>
      <c r="J437" s="1363"/>
      <c r="K437" s="1363"/>
      <c r="L437" s="1363"/>
      <c r="M437" s="1363"/>
      <c r="N437" s="1363"/>
      <c r="O437" s="1363"/>
      <c r="P437" s="1363"/>
      <c r="Q437" s="1363"/>
      <c r="R437" s="1363"/>
      <c r="S437" s="1363"/>
      <c r="T437" s="1363"/>
      <c r="U437" s="1363"/>
      <c r="V437" s="1363"/>
      <c r="W437" s="1363"/>
      <c r="X437" s="1363"/>
      <c r="Y437" s="1363"/>
      <c r="Z437" s="1363"/>
      <c r="AA437" s="1363"/>
      <c r="AB437" s="1363"/>
      <c r="AC437" s="1363"/>
      <c r="AD437" s="1363"/>
      <c r="AE437" s="1363"/>
      <c r="AF437" s="1364"/>
      <c r="AG437" s="1372"/>
      <c r="AH437" s="1373"/>
      <c r="AI437" s="1373"/>
      <c r="AJ437" s="1373"/>
    </row>
    <row r="438" spans="1:110" ht="12.9" customHeight="1">
      <c r="D438" s="1362" t="s">
        <v>1091</v>
      </c>
      <c r="E438" s="1363"/>
      <c r="F438" s="1363"/>
      <c r="G438" s="1363"/>
      <c r="H438" s="1363"/>
      <c r="I438" s="1363"/>
      <c r="J438" s="1363"/>
      <c r="K438" s="1363"/>
      <c r="L438" s="1363"/>
      <c r="M438" s="1363"/>
      <c r="N438" s="1363"/>
      <c r="O438" s="1363"/>
      <c r="P438" s="1363"/>
      <c r="Q438" s="1363"/>
      <c r="R438" s="1363"/>
      <c r="S438" s="1363"/>
      <c r="T438" s="1363"/>
      <c r="U438" s="1363"/>
      <c r="V438" s="1363"/>
      <c r="W438" s="1363"/>
      <c r="X438" s="1363"/>
      <c r="Y438" s="1363"/>
      <c r="Z438" s="1363"/>
      <c r="AA438" s="1363"/>
      <c r="AB438" s="1363"/>
      <c r="AC438" s="1363"/>
      <c r="AD438" s="1363"/>
      <c r="AE438" s="1363"/>
      <c r="AF438" s="1364"/>
      <c r="AG438" s="1358">
        <v>226</v>
      </c>
      <c r="AH438" s="1358"/>
      <c r="AI438" s="1358"/>
      <c r="AJ438" s="1358"/>
    </row>
    <row r="439" spans="1:110" ht="12.9" customHeight="1">
      <c r="D439" s="1362" t="s">
        <v>1092</v>
      </c>
      <c r="E439" s="1363"/>
      <c r="F439" s="1363"/>
      <c r="G439" s="1363"/>
      <c r="H439" s="1363"/>
      <c r="I439" s="1363"/>
      <c r="J439" s="1363"/>
      <c r="K439" s="1363"/>
      <c r="L439" s="1363"/>
      <c r="M439" s="1363"/>
      <c r="N439" s="1363"/>
      <c r="O439" s="1363"/>
      <c r="P439" s="1363"/>
      <c r="Q439" s="1363"/>
      <c r="R439" s="1363"/>
      <c r="S439" s="1363"/>
      <c r="T439" s="1363"/>
      <c r="U439" s="1363"/>
      <c r="V439" s="1363"/>
      <c r="W439" s="1363"/>
      <c r="X439" s="1363"/>
      <c r="Y439" s="1363"/>
      <c r="Z439" s="1363"/>
      <c r="AA439" s="1363"/>
      <c r="AB439" s="1363"/>
      <c r="AC439" s="1363"/>
      <c r="AD439" s="1363"/>
      <c r="AE439" s="1363"/>
      <c r="AF439" s="1364"/>
      <c r="AG439" s="1358">
        <v>226</v>
      </c>
      <c r="AH439" s="1358"/>
      <c r="AI439" s="1358"/>
      <c r="AJ439" s="1358"/>
    </row>
    <row r="440" spans="1:110" ht="12.9" customHeight="1">
      <c r="D440" s="1362" t="s">
        <v>1094</v>
      </c>
      <c r="E440" s="1363"/>
      <c r="F440" s="1363"/>
      <c r="G440" s="1363"/>
      <c r="H440" s="1363"/>
      <c r="I440" s="1363"/>
      <c r="J440" s="1363"/>
      <c r="K440" s="1363"/>
      <c r="L440" s="1363"/>
      <c r="M440" s="1363"/>
      <c r="N440" s="1363"/>
      <c r="O440" s="1363"/>
      <c r="P440" s="1363"/>
      <c r="Q440" s="1363"/>
      <c r="R440" s="1363"/>
      <c r="S440" s="1363"/>
      <c r="T440" s="1363"/>
      <c r="U440" s="1363"/>
      <c r="V440" s="1363"/>
      <c r="W440" s="1363"/>
      <c r="X440" s="1363"/>
      <c r="Y440" s="1363"/>
      <c r="Z440" s="1363"/>
      <c r="AA440" s="1363"/>
      <c r="AB440" s="1363"/>
      <c r="AC440" s="1363"/>
      <c r="AD440" s="1363"/>
      <c r="AE440" s="1363"/>
      <c r="AF440" s="1364"/>
      <c r="AG440" s="1360">
        <f>IF(ISERROR(AG439/AG438),"",AG439/AG438)</f>
        <v>1</v>
      </c>
      <c r="AH440" s="1360"/>
      <c r="AI440" s="1360"/>
      <c r="AJ440" s="1360"/>
    </row>
    <row r="441" spans="1:110" ht="12.9" customHeight="1">
      <c r="D441" s="1362" t="s">
        <v>1093</v>
      </c>
      <c r="E441" s="1363"/>
      <c r="F441" s="1363"/>
      <c r="G441" s="1363"/>
      <c r="H441" s="1363"/>
      <c r="I441" s="1363"/>
      <c r="J441" s="1363"/>
      <c r="K441" s="1363"/>
      <c r="L441" s="1363"/>
      <c r="M441" s="1363"/>
      <c r="N441" s="1363"/>
      <c r="O441" s="1363"/>
      <c r="P441" s="1363"/>
      <c r="Q441" s="1363"/>
      <c r="R441" s="1363"/>
      <c r="S441" s="1363"/>
      <c r="T441" s="1363"/>
      <c r="U441" s="1363"/>
      <c r="V441" s="1363"/>
      <c r="W441" s="1363"/>
      <c r="X441" s="1363"/>
      <c r="Y441" s="1363"/>
      <c r="Z441" s="1363"/>
      <c r="AA441" s="1363"/>
      <c r="AB441" s="1363"/>
      <c r="AC441" s="1363"/>
      <c r="AD441" s="1363"/>
      <c r="AE441" s="1363"/>
      <c r="AF441" s="1364"/>
      <c r="AG441" s="1359">
        <v>162849</v>
      </c>
      <c r="AH441" s="1359"/>
      <c r="AI441" s="1359"/>
      <c r="AJ441" s="1359"/>
    </row>
    <row r="442" spans="1:110" ht="12.9" customHeight="1">
      <c r="D442" s="1362" t="s">
        <v>1095</v>
      </c>
      <c r="E442" s="1363"/>
      <c r="F442" s="1363"/>
      <c r="G442" s="1363"/>
      <c r="H442" s="1363"/>
      <c r="I442" s="1363"/>
      <c r="J442" s="1363"/>
      <c r="K442" s="1363"/>
      <c r="L442" s="1363"/>
      <c r="M442" s="1363"/>
      <c r="N442" s="1363"/>
      <c r="O442" s="1363"/>
      <c r="P442" s="1363"/>
      <c r="Q442" s="1363"/>
      <c r="R442" s="1363"/>
      <c r="S442" s="1363"/>
      <c r="T442" s="1363"/>
      <c r="U442" s="1363"/>
      <c r="V442" s="1363"/>
      <c r="W442" s="1363"/>
      <c r="X442" s="1363"/>
      <c r="Y442" s="1363"/>
      <c r="Z442" s="1363"/>
      <c r="AA442" s="1363"/>
      <c r="AB442" s="1363"/>
      <c r="AC442" s="1363"/>
      <c r="AD442" s="1363"/>
      <c r="AE442" s="1363"/>
      <c r="AF442" s="1364"/>
      <c r="AG442" s="1359">
        <v>162849</v>
      </c>
      <c r="AH442" s="1359"/>
      <c r="AI442" s="1359"/>
      <c r="AJ442" s="1359"/>
    </row>
    <row r="443" spans="1:110" ht="12.9" customHeight="1">
      <c r="D443" s="1362" t="s">
        <v>1096</v>
      </c>
      <c r="E443" s="1363"/>
      <c r="F443" s="1363"/>
      <c r="G443" s="1363"/>
      <c r="H443" s="1363"/>
      <c r="I443" s="1363"/>
      <c r="J443" s="1363"/>
      <c r="K443" s="1363"/>
      <c r="L443" s="1363"/>
      <c r="M443" s="1363"/>
      <c r="N443" s="1363"/>
      <c r="O443" s="1363"/>
      <c r="P443" s="1363"/>
      <c r="Q443" s="1363"/>
      <c r="R443" s="1363"/>
      <c r="S443" s="1363"/>
      <c r="T443" s="1363"/>
      <c r="U443" s="1363"/>
      <c r="V443" s="1363"/>
      <c r="W443" s="1363"/>
      <c r="X443" s="1363"/>
      <c r="Y443" s="1363"/>
      <c r="Z443" s="1363"/>
      <c r="AA443" s="1363"/>
      <c r="AB443" s="1363"/>
      <c r="AC443" s="1363"/>
      <c r="AD443" s="1363"/>
      <c r="AE443" s="1363"/>
      <c r="AF443" s="1364"/>
      <c r="AG443" s="1360">
        <f>IF(ISERROR(AG442/AG441),"",AG442/AG441)</f>
        <v>1</v>
      </c>
      <c r="AH443" s="1360"/>
      <c r="AI443" s="1360"/>
      <c r="AJ443" s="1360"/>
    </row>
    <row r="444" spans="1:110" ht="12.9" customHeight="1">
      <c r="D444" s="1362" t="s">
        <v>1097</v>
      </c>
      <c r="E444" s="1363"/>
      <c r="F444" s="1363"/>
      <c r="G444" s="1363"/>
      <c r="H444" s="1363"/>
      <c r="I444" s="1363"/>
      <c r="J444" s="1363"/>
      <c r="K444" s="1363"/>
      <c r="L444" s="1363"/>
      <c r="M444" s="1363"/>
      <c r="N444" s="1363"/>
      <c r="O444" s="1363"/>
      <c r="P444" s="1363"/>
      <c r="Q444" s="1363"/>
      <c r="R444" s="1363"/>
      <c r="S444" s="1363"/>
      <c r="T444" s="1363"/>
      <c r="U444" s="1363"/>
      <c r="V444" s="1363"/>
      <c r="W444" s="1363"/>
      <c r="X444" s="1363"/>
      <c r="Y444" s="1363"/>
      <c r="Z444" s="1363"/>
      <c r="AA444" s="1363"/>
      <c r="AB444" s="1363"/>
      <c r="AC444" s="1363"/>
      <c r="AD444" s="1363"/>
      <c r="AE444" s="1363"/>
      <c r="AF444" s="1364"/>
      <c r="AG444" s="1360">
        <f>MIN(IF(AG440&gt;AG443,AG443,AG440),1)</f>
        <v>1</v>
      </c>
      <c r="AH444" s="1360"/>
      <c r="AI444" s="1360"/>
      <c r="AJ444" s="1360"/>
    </row>
    <row r="445" spans="1:110" ht="12.9" customHeight="1">
      <c r="D445" s="1362" t="s">
        <v>2504</v>
      </c>
      <c r="E445" s="1424"/>
      <c r="F445" s="1424"/>
      <c r="G445" s="1424"/>
      <c r="H445" s="1424"/>
      <c r="I445" s="1424"/>
      <c r="J445" s="1424"/>
      <c r="K445" s="1424"/>
      <c r="L445" s="1424"/>
      <c r="M445" s="1424"/>
      <c r="N445" s="1424"/>
      <c r="O445" s="1424"/>
      <c r="P445" s="1424"/>
      <c r="Q445" s="1424"/>
      <c r="R445" s="1424"/>
      <c r="S445" s="1424"/>
      <c r="T445" s="1424"/>
      <c r="U445" s="1424"/>
      <c r="V445" s="1424"/>
      <c r="W445" s="1424"/>
      <c r="X445" s="1424"/>
      <c r="Y445" s="1424"/>
      <c r="Z445" s="1424"/>
      <c r="AA445" s="1424"/>
      <c r="AB445" s="1424"/>
      <c r="AC445" s="1424"/>
      <c r="AD445" s="1424"/>
      <c r="AE445" s="1424"/>
      <c r="AF445" s="1425"/>
      <c r="AG445" s="1359">
        <v>0</v>
      </c>
      <c r="AH445" s="1359"/>
      <c r="AI445" s="1359"/>
      <c r="AJ445" s="1359"/>
    </row>
    <row r="446" spans="1:110" ht="12.9" customHeight="1">
      <c r="D446" s="1423" t="s">
        <v>579</v>
      </c>
      <c r="E446" s="1424"/>
      <c r="F446" s="1424"/>
      <c r="G446" s="1424"/>
      <c r="H446" s="1424"/>
      <c r="I446" s="1424"/>
      <c r="J446" s="1424"/>
      <c r="K446" s="1424"/>
      <c r="L446" s="1424"/>
      <c r="M446" s="1424"/>
      <c r="N446" s="1424"/>
      <c r="O446" s="1424"/>
      <c r="P446" s="1424"/>
      <c r="Q446" s="1424"/>
      <c r="R446" s="1424"/>
      <c r="S446" s="1424"/>
      <c r="T446" s="1424"/>
      <c r="U446" s="1424"/>
      <c r="V446" s="1424"/>
      <c r="W446" s="1424"/>
      <c r="X446" s="1424"/>
      <c r="Y446" s="1424"/>
      <c r="Z446" s="1424"/>
      <c r="AA446" s="1424"/>
      <c r="AB446" s="1424"/>
      <c r="AC446" s="1424"/>
      <c r="AD446" s="1424"/>
      <c r="AE446" s="1424"/>
      <c r="AF446" s="1425"/>
      <c r="AG446" s="1359">
        <v>0</v>
      </c>
      <c r="AH446" s="1359"/>
      <c r="AI446" s="1359"/>
      <c r="AJ446" s="1359"/>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 customHeight="1">
      <c r="D447" s="1362" t="s">
        <v>1347</v>
      </c>
      <c r="E447" s="1424"/>
      <c r="F447" s="1424"/>
      <c r="G447" s="1424"/>
      <c r="H447" s="1424"/>
      <c r="I447" s="1424"/>
      <c r="J447" s="1424"/>
      <c r="K447" s="1424"/>
      <c r="L447" s="1424"/>
      <c r="M447" s="1424"/>
      <c r="N447" s="1424"/>
      <c r="O447" s="1424"/>
      <c r="P447" s="1424"/>
      <c r="Q447" s="1424"/>
      <c r="R447" s="1424"/>
      <c r="S447" s="1424"/>
      <c r="T447" s="1424"/>
      <c r="U447" s="1424"/>
      <c r="V447" s="1424"/>
      <c r="W447" s="1424"/>
      <c r="X447" s="1424"/>
      <c r="Y447" s="1424"/>
      <c r="Z447" s="1424"/>
      <c r="AA447" s="1424"/>
      <c r="AB447" s="1424"/>
      <c r="AC447" s="1424"/>
      <c r="AD447" s="1424"/>
      <c r="AE447" s="1424"/>
      <c r="AF447" s="1425"/>
      <c r="AG447" s="1359">
        <v>18988</v>
      </c>
      <c r="AH447" s="1359"/>
      <c r="AI447" s="1359"/>
      <c r="AJ447" s="1359"/>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 customHeight="1">
      <c r="D448" s="1362" t="s">
        <v>1098</v>
      </c>
      <c r="E448" s="1424"/>
      <c r="F448" s="1424"/>
      <c r="G448" s="1424"/>
      <c r="H448" s="1424"/>
      <c r="I448" s="1424"/>
      <c r="J448" s="1424"/>
      <c r="K448" s="1424"/>
      <c r="L448" s="1424"/>
      <c r="M448" s="1424"/>
      <c r="N448" s="1424"/>
      <c r="O448" s="1424"/>
      <c r="P448" s="1424"/>
      <c r="Q448" s="1424"/>
      <c r="R448" s="1424"/>
      <c r="S448" s="1424"/>
      <c r="T448" s="1424"/>
      <c r="U448" s="1424"/>
      <c r="V448" s="1424"/>
      <c r="W448" s="1424"/>
      <c r="X448" s="1424"/>
      <c r="Y448" s="1424"/>
      <c r="Z448" s="1424"/>
      <c r="AA448" s="1424"/>
      <c r="AB448" s="1424"/>
      <c r="AC448" s="1424"/>
      <c r="AD448" s="1424"/>
      <c r="AE448" s="1424"/>
      <c r="AF448" s="1425"/>
      <c r="AG448" s="1359">
        <v>0</v>
      </c>
      <c r="AH448" s="1359"/>
      <c r="AI448" s="1359"/>
      <c r="AJ448" s="1359"/>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 customHeight="1">
      <c r="D449" s="1521" t="s">
        <v>1099</v>
      </c>
      <c r="E449" s="1522"/>
      <c r="F449" s="1522"/>
      <c r="G449" s="1522"/>
      <c r="H449" s="1522"/>
      <c r="I449" s="1522"/>
      <c r="J449" s="1522"/>
      <c r="K449" s="1522"/>
      <c r="L449" s="1522"/>
      <c r="M449" s="1522"/>
      <c r="N449" s="1522"/>
      <c r="O449" s="1522"/>
      <c r="P449" s="1522"/>
      <c r="Q449" s="1522"/>
      <c r="R449" s="1522"/>
      <c r="S449" s="1522"/>
      <c r="T449" s="1522"/>
      <c r="U449" s="1522"/>
      <c r="V449" s="1522"/>
      <c r="W449" s="1522"/>
      <c r="X449" s="1522"/>
      <c r="Y449" s="1522"/>
      <c r="Z449" s="1522"/>
      <c r="AA449" s="1522"/>
      <c r="AB449" s="1522"/>
      <c r="AC449" s="1522"/>
      <c r="AD449" s="1522"/>
      <c r="AE449" s="1522"/>
      <c r="AF449" s="1523"/>
      <c r="AG449" s="1461">
        <f>AG441+AG445+AG447+AG448</f>
        <v>181837</v>
      </c>
      <c r="AH449" s="1461"/>
      <c r="AI449" s="1461"/>
      <c r="AJ449" s="146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 customHeight="1">
      <c r="D450" s="1524" t="s">
        <v>1348</v>
      </c>
      <c r="E450" s="1524"/>
      <c r="F450" s="1524"/>
      <c r="G450" s="1524"/>
      <c r="H450" s="1524"/>
      <c r="I450" s="1524"/>
      <c r="J450" s="1524"/>
      <c r="K450" s="1524"/>
      <c r="L450" s="1524"/>
      <c r="M450" s="1524"/>
      <c r="N450" s="1524"/>
      <c r="O450" s="1524"/>
      <c r="P450" s="1524"/>
      <c r="Q450" s="1524"/>
      <c r="R450" s="1524"/>
      <c r="S450" s="1524"/>
      <c r="T450" s="1524"/>
      <c r="U450" s="1524"/>
      <c r="V450" s="1524"/>
      <c r="W450" s="1524"/>
      <c r="X450" s="1524"/>
      <c r="Y450" s="1524"/>
      <c r="Z450" s="1524"/>
      <c r="AA450" s="1524"/>
      <c r="AB450" s="1524"/>
      <c r="AC450" s="1524"/>
      <c r="AD450" s="1524"/>
      <c r="AE450" s="1524"/>
      <c r="AF450" s="1524"/>
      <c r="AG450" s="1524"/>
      <c r="AH450" s="1524"/>
      <c r="AI450" s="1524"/>
      <c r="AJ450" s="152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 customHeight="1">
      <c r="D451" s="1525"/>
      <c r="E451" s="1525"/>
      <c r="F451" s="1525"/>
      <c r="G451" s="1525"/>
      <c r="H451" s="1525"/>
      <c r="I451" s="1525"/>
      <c r="J451" s="1525"/>
      <c r="K451" s="1525"/>
      <c r="L451" s="1525"/>
      <c r="M451" s="1525"/>
      <c r="N451" s="1525"/>
      <c r="O451" s="1525"/>
      <c r="P451" s="1525"/>
      <c r="Q451" s="1525"/>
      <c r="R451" s="1525"/>
      <c r="S451" s="1525"/>
      <c r="T451" s="1525"/>
      <c r="U451" s="1525"/>
      <c r="V451" s="1525"/>
      <c r="W451" s="1525"/>
      <c r="X451" s="1525"/>
      <c r="Y451" s="1525"/>
      <c r="Z451" s="1525"/>
      <c r="AA451" s="1525"/>
      <c r="AB451" s="1525"/>
      <c r="AC451" s="1525"/>
      <c r="AD451" s="1525"/>
      <c r="AE451" s="1525"/>
      <c r="AF451" s="1525"/>
      <c r="AG451" s="1525"/>
      <c r="AH451" s="1525"/>
      <c r="AI451" s="1525"/>
      <c r="AJ451" s="152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1">
        <f>'Sources and Uses Budget'!B105/Application!AG436</f>
        <v>392058.07894736843</v>
      </c>
      <c r="AD453" s="1361"/>
      <c r="AE453" s="1361"/>
      <c r="AF453" s="1361"/>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1">
        <f>'Sources and Uses Budget'!C105/Application!AG436</f>
        <v>392058.07894736843</v>
      </c>
      <c r="AD454" s="1361"/>
      <c r="AE454" s="1361"/>
      <c r="AF454" s="1361"/>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1">
        <f>('Sources and Uses Budget'!$S$107+'Sources and Uses Budget'!$T$107)/Application!AG436</f>
        <v>359246.38157894736</v>
      </c>
      <c r="AD455" s="1361"/>
      <c r="AE455" s="1361"/>
      <c r="AF455" s="136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 customHeight="1">
      <c r="D456" s="186"/>
      <c r="E456" s="186"/>
      <c r="F456" s="1527" t="str">
        <f>IFERROR(IF(AC453&gt;650000,"Please provide a justification of cost per unit in Tab 12 for all projects with per unit costs of greater than $650,000.",""),"")</f>
        <v/>
      </c>
      <c r="G456" s="1527"/>
      <c r="H456" s="1527"/>
      <c r="I456" s="1527"/>
      <c r="J456" s="1527"/>
      <c r="K456" s="1527"/>
      <c r="L456" s="1527"/>
      <c r="M456" s="1527"/>
      <c r="N456" s="1527"/>
      <c r="O456" s="1527"/>
      <c r="P456" s="1527"/>
      <c r="Q456" s="1527"/>
      <c r="R456" s="1527"/>
      <c r="S456" s="1527"/>
      <c r="T456" s="1527"/>
      <c r="U456" s="1527"/>
      <c r="V456" s="1527"/>
      <c r="W456" s="1527"/>
      <c r="X456" s="1527"/>
      <c r="Y456" s="1527"/>
      <c r="Z456" s="1527"/>
      <c r="AA456" s="1527"/>
      <c r="AB456" s="1527"/>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 customHeight="1">
      <c r="A457" s="2"/>
      <c r="D457" s="2"/>
      <c r="E457" s="186"/>
      <c r="F457" s="1527"/>
      <c r="G457" s="1527"/>
      <c r="H457" s="1527"/>
      <c r="I457" s="1527"/>
      <c r="J457" s="1527"/>
      <c r="K457" s="1527"/>
      <c r="L457" s="1527"/>
      <c r="M457" s="1527"/>
      <c r="N457" s="1527"/>
      <c r="O457" s="1527"/>
      <c r="P457" s="1527"/>
      <c r="Q457" s="1527"/>
      <c r="R457" s="1527"/>
      <c r="S457" s="1527"/>
      <c r="T457" s="1527"/>
      <c r="U457" s="1527"/>
      <c r="V457" s="1527"/>
      <c r="W457" s="1527"/>
      <c r="X457" s="1527"/>
      <c r="Y457" s="1527"/>
      <c r="Z457" s="1527"/>
      <c r="AA457" s="1527"/>
      <c r="AB457" s="1527"/>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 customHeight="1">
      <c r="D459" s="193" t="s">
        <v>2140</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 customHeight="1">
      <c r="D460" s="193" t="s">
        <v>2141</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 customHeight="1">
      <c r="D461" s="193" t="s">
        <v>2142</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 customHeight="1">
      <c r="A464" s="3"/>
      <c r="B464" s="3"/>
      <c r="C464" s="3"/>
      <c r="D464" s="1456" t="s">
        <v>2519</v>
      </c>
      <c r="E464" s="1354"/>
      <c r="F464" s="1354"/>
      <c r="G464" s="1354"/>
      <c r="H464" s="1354"/>
      <c r="I464" s="1354"/>
      <c r="J464" s="1354"/>
      <c r="K464" s="1354"/>
      <c r="L464" s="1354"/>
      <c r="M464" s="1354"/>
      <c r="N464" s="1354"/>
      <c r="O464" s="1354"/>
      <c r="P464" s="1354"/>
      <c r="Q464" s="1354"/>
      <c r="R464" s="1354"/>
      <c r="S464" s="1354"/>
      <c r="T464" s="1354"/>
      <c r="U464" s="1354"/>
      <c r="V464" s="1355"/>
      <c r="W464" s="1350">
        <v>0</v>
      </c>
      <c r="X464" s="1351"/>
      <c r="Y464" s="1352"/>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 customHeight="1">
      <c r="A465" s="3"/>
      <c r="B465" s="3"/>
      <c r="C465" s="3"/>
      <c r="D465" s="1353" t="s">
        <v>704</v>
      </c>
      <c r="E465" s="1354"/>
      <c r="F465" s="1354"/>
      <c r="G465" s="1354"/>
      <c r="H465" s="1354"/>
      <c r="I465" s="1354"/>
      <c r="J465" s="1354"/>
      <c r="K465" s="1354"/>
      <c r="L465" s="1354"/>
      <c r="M465" s="1354"/>
      <c r="N465" s="1354"/>
      <c r="O465" s="1354"/>
      <c r="P465" s="1354"/>
      <c r="Q465" s="1354"/>
      <c r="R465" s="1354"/>
      <c r="S465" s="1354"/>
      <c r="T465" s="1354"/>
      <c r="U465" s="1354"/>
      <c r="V465" s="1355"/>
      <c r="W465" s="1350">
        <v>0</v>
      </c>
      <c r="X465" s="1351"/>
      <c r="Y465" s="1352"/>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 customHeight="1">
      <c r="A466" s="3"/>
      <c r="B466" s="3"/>
      <c r="C466" s="3"/>
      <c r="D466" s="1353" t="s">
        <v>705</v>
      </c>
      <c r="E466" s="1354"/>
      <c r="F466" s="1354"/>
      <c r="G466" s="1354"/>
      <c r="H466" s="1354"/>
      <c r="I466" s="1354"/>
      <c r="J466" s="1354"/>
      <c r="K466" s="1354"/>
      <c r="L466" s="1354"/>
      <c r="M466" s="1354"/>
      <c r="N466" s="1354"/>
      <c r="O466" s="1354"/>
      <c r="P466" s="1354"/>
      <c r="Q466" s="1354"/>
      <c r="R466" s="1354"/>
      <c r="S466" s="1354"/>
      <c r="T466" s="1354"/>
      <c r="U466" s="1354"/>
      <c r="V466" s="1355"/>
      <c r="W466" s="1350">
        <v>0</v>
      </c>
      <c r="X466" s="1351"/>
      <c r="Y466" s="135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 customHeight="1">
      <c r="A467" s="3"/>
      <c r="B467" s="3"/>
      <c r="C467" s="3"/>
      <c r="D467" s="1353" t="s">
        <v>706</v>
      </c>
      <c r="E467" s="1354"/>
      <c r="F467" s="1354"/>
      <c r="G467" s="1354"/>
      <c r="H467" s="1354"/>
      <c r="I467" s="1354"/>
      <c r="J467" s="1354"/>
      <c r="K467" s="1354"/>
      <c r="L467" s="1354"/>
      <c r="M467" s="1354"/>
      <c r="N467" s="1354"/>
      <c r="O467" s="1354"/>
      <c r="P467" s="1354"/>
      <c r="Q467" s="1354"/>
      <c r="R467" s="1354"/>
      <c r="S467" s="1354"/>
      <c r="T467" s="1354"/>
      <c r="U467" s="1354"/>
      <c r="V467" s="1355"/>
      <c r="W467" s="1350">
        <v>0</v>
      </c>
      <c r="X467" s="1351"/>
      <c r="Y467" s="135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 customHeight="1">
      <c r="A468" s="3"/>
      <c r="B468" s="3"/>
      <c r="C468" s="3"/>
      <c r="D468" s="1353" t="s">
        <v>910</v>
      </c>
      <c r="E468" s="1354"/>
      <c r="F468" s="1354"/>
      <c r="G468" s="1354"/>
      <c r="H468" s="1354"/>
      <c r="I468" s="1354"/>
      <c r="J468" s="1354"/>
      <c r="K468" s="1354"/>
      <c r="L468" s="1354"/>
      <c r="M468" s="1354"/>
      <c r="N468" s="1354"/>
      <c r="O468" s="1354"/>
      <c r="P468" s="1354"/>
      <c r="Q468" s="1354"/>
      <c r="R468" s="1354"/>
      <c r="S468" s="1354"/>
      <c r="T468" s="1354"/>
      <c r="U468" s="1354"/>
      <c r="V468" s="1355"/>
      <c r="W468" s="1350">
        <v>0</v>
      </c>
      <c r="X468" s="1351"/>
      <c r="Y468" s="135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 customHeight="1">
      <c r="A469" s="3"/>
      <c r="B469" s="3"/>
      <c r="C469" s="3"/>
      <c r="D469" s="1353" t="s">
        <v>707</v>
      </c>
      <c r="E469" s="1354"/>
      <c r="F469" s="1354"/>
      <c r="G469" s="1354"/>
      <c r="H469" s="1354"/>
      <c r="I469" s="1354"/>
      <c r="J469" s="1354"/>
      <c r="K469" s="1354"/>
      <c r="L469" s="1354"/>
      <c r="M469" s="1354"/>
      <c r="N469" s="1354"/>
      <c r="O469" s="1354"/>
      <c r="P469" s="1354"/>
      <c r="Q469" s="1354"/>
      <c r="R469" s="1354"/>
      <c r="S469" s="1354"/>
      <c r="T469" s="1354"/>
      <c r="U469" s="1354"/>
      <c r="V469" s="1355"/>
      <c r="W469" s="1350">
        <v>0</v>
      </c>
      <c r="X469" s="1351"/>
      <c r="Y469" s="1352"/>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 customHeight="1">
      <c r="A470" s="3"/>
      <c r="B470" s="3"/>
      <c r="C470" s="3"/>
      <c r="D470" s="1353" t="s">
        <v>1068</v>
      </c>
      <c r="E470" s="1354"/>
      <c r="F470" s="1354"/>
      <c r="G470" s="1354"/>
      <c r="H470" s="1354"/>
      <c r="I470" s="1354"/>
      <c r="J470" s="1354"/>
      <c r="K470" s="1354"/>
      <c r="L470" s="1354"/>
      <c r="M470" s="1354"/>
      <c r="N470" s="1354"/>
      <c r="O470" s="1354"/>
      <c r="P470" s="1354"/>
      <c r="Q470" s="1354"/>
      <c r="R470" s="1354"/>
      <c r="S470" s="1354"/>
      <c r="T470" s="1354"/>
      <c r="U470" s="1354"/>
      <c r="V470" s="1355"/>
      <c r="W470" s="1350">
        <v>0</v>
      </c>
      <c r="X470" s="1351"/>
      <c r="Y470" s="1352"/>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 customHeight="1">
      <c r="A471" s="3"/>
      <c r="B471" s="3"/>
      <c r="C471" s="3"/>
      <c r="D471" s="1456" t="s">
        <v>1833</v>
      </c>
      <c r="E471" s="1354"/>
      <c r="F471" s="1354"/>
      <c r="G471" s="1354"/>
      <c r="H471" s="1354"/>
      <c r="I471" s="1354"/>
      <c r="J471" s="1354"/>
      <c r="K471" s="1354"/>
      <c r="L471" s="1354"/>
      <c r="M471" s="1354"/>
      <c r="N471" s="1354"/>
      <c r="O471" s="1354"/>
      <c r="P471" s="1354"/>
      <c r="Q471" s="1354"/>
      <c r="R471" s="1354"/>
      <c r="S471" s="1354"/>
      <c r="T471" s="1354"/>
      <c r="U471" s="1354"/>
      <c r="V471" s="1355"/>
      <c r="W471" s="1350">
        <v>0</v>
      </c>
      <c r="X471" s="1351"/>
      <c r="Y471" s="135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 customHeight="1">
      <c r="A472" s="3"/>
      <c r="B472" s="3"/>
      <c r="C472" s="3"/>
      <c r="D472" s="261" t="s">
        <v>171</v>
      </c>
      <c r="E472" s="262"/>
      <c r="F472" s="263"/>
      <c r="G472" s="1458" t="s">
        <v>2723</v>
      </c>
      <c r="H472" s="1459"/>
      <c r="I472" s="1459"/>
      <c r="J472" s="1459"/>
      <c r="K472" s="1459"/>
      <c r="L472" s="1459"/>
      <c r="M472" s="1459"/>
      <c r="N472" s="1459"/>
      <c r="O472" s="1459"/>
      <c r="P472" s="1459"/>
      <c r="Q472" s="1459"/>
      <c r="R472" s="1459"/>
      <c r="S472" s="1459"/>
      <c r="T472" s="1459"/>
      <c r="U472" s="1459"/>
      <c r="V472" s="1460"/>
      <c r="W472" s="1350">
        <v>228</v>
      </c>
      <c r="X472" s="1351"/>
      <c r="Y472" s="135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 customHeight="1">
      <c r="A478" s="1440" t="s">
        <v>836</v>
      </c>
      <c r="B478" s="1440"/>
      <c r="C478" s="1440"/>
      <c r="D478" s="1440"/>
      <c r="E478" s="1440"/>
      <c r="F478" s="1440"/>
      <c r="G478" s="1440"/>
      <c r="H478" s="1440"/>
      <c r="I478" s="1440"/>
      <c r="J478" s="1440"/>
      <c r="K478" s="1440"/>
      <c r="L478" s="1440"/>
      <c r="M478" s="1440"/>
      <c r="N478" s="1440"/>
      <c r="O478" s="1440"/>
      <c r="P478" s="1440"/>
      <c r="Q478" s="1440"/>
      <c r="R478" s="1440"/>
      <c r="S478" s="1440"/>
      <c r="T478" s="1440"/>
      <c r="U478" s="1440"/>
      <c r="V478" s="1440"/>
      <c r="W478" s="1440"/>
      <c r="X478" s="1440"/>
      <c r="Y478" s="1440"/>
      <c r="Z478" s="1440"/>
      <c r="AA478" s="1440"/>
      <c r="AB478" s="1440"/>
      <c r="AC478" s="1440"/>
      <c r="AD478" s="1440"/>
      <c r="AE478" s="1440"/>
      <c r="AF478" s="1440"/>
      <c r="AG478" s="1440"/>
      <c r="AH478" s="1440"/>
      <c r="AI478" s="1440"/>
      <c r="AJ478" s="1440"/>
      <c r="AK478" s="1440"/>
      <c r="AL478" s="1440"/>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 customHeight="1" thickBot="1">
      <c r="A479" s="1441"/>
      <c r="B479" s="1441"/>
      <c r="C479" s="1441"/>
      <c r="D479" s="1441"/>
      <c r="E479" s="1441"/>
      <c r="F479" s="1441"/>
      <c r="G479" s="1441"/>
      <c r="H479" s="1441"/>
      <c r="I479" s="1441"/>
      <c r="J479" s="1441"/>
      <c r="K479" s="1441"/>
      <c r="L479" s="1441"/>
      <c r="M479" s="1441"/>
      <c r="N479" s="1441"/>
      <c r="O479" s="1441"/>
      <c r="P479" s="1441"/>
      <c r="Q479" s="1441"/>
      <c r="R479" s="1441"/>
      <c r="S479" s="1441"/>
      <c r="T479" s="1441"/>
      <c r="U479" s="1441"/>
      <c r="V479" s="1441"/>
      <c r="W479" s="1441"/>
      <c r="X479" s="1441"/>
      <c r="Y479" s="1441"/>
      <c r="Z479" s="1441"/>
      <c r="AA479" s="1441"/>
      <c r="AB479" s="1441"/>
      <c r="AC479" s="1441"/>
      <c r="AD479" s="1441"/>
      <c r="AE479" s="1441"/>
      <c r="AF479" s="1441"/>
      <c r="AG479" s="1441"/>
      <c r="AH479" s="1441"/>
      <c r="AI479" s="1441"/>
      <c r="AJ479" s="1441"/>
      <c r="AK479" s="1441"/>
      <c r="AL479" s="1441"/>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 customHeight="1">
      <c r="B483" s="45"/>
      <c r="C483" s="5"/>
      <c r="D483" s="5"/>
      <c r="E483" s="5"/>
      <c r="F483" s="5"/>
      <c r="G483" s="5"/>
      <c r="H483" s="5"/>
      <c r="I483" s="5"/>
      <c r="J483" s="5"/>
      <c r="K483" s="5"/>
      <c r="L483" s="5"/>
      <c r="M483" s="5"/>
      <c r="N483" s="5"/>
      <c r="O483" s="5"/>
      <c r="P483" s="46"/>
      <c r="Q483" s="1422" t="s">
        <v>395</v>
      </c>
      <c r="R483" s="1418"/>
      <c r="S483" s="1418"/>
      <c r="T483" s="1418"/>
      <c r="U483" s="1418"/>
      <c r="V483" s="1418"/>
      <c r="W483" s="1418"/>
      <c r="X483" s="1418"/>
      <c r="Y483" s="1418"/>
      <c r="Z483" s="1418"/>
      <c r="AA483" s="1418"/>
      <c r="AB483" s="1418"/>
      <c r="AC483" s="1418"/>
      <c r="AD483" s="1418"/>
      <c r="AE483" s="1418"/>
      <c r="AF483" s="1418"/>
      <c r="AG483" s="1418"/>
      <c r="AH483" s="1418"/>
      <c r="AI483" s="1418"/>
      <c r="AJ483" s="1418"/>
      <c r="AK483" s="1419"/>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 customHeight="1">
      <c r="B484" s="45" t="s">
        <v>396</v>
      </c>
      <c r="C484" s="5"/>
      <c r="D484" s="5"/>
      <c r="E484" s="5"/>
      <c r="F484" s="5"/>
      <c r="G484" s="5"/>
      <c r="H484" s="5"/>
      <c r="I484" s="5"/>
      <c r="J484" s="5"/>
      <c r="K484" s="5"/>
      <c r="L484" s="5"/>
      <c r="M484" s="5"/>
      <c r="N484" s="5"/>
      <c r="O484" s="5"/>
      <c r="P484" s="5"/>
      <c r="Q484" s="1366" t="s">
        <v>2727</v>
      </c>
      <c r="R484" s="1367"/>
      <c r="S484" s="1367"/>
      <c r="T484" s="1367"/>
      <c r="U484" s="1367"/>
      <c r="V484" s="1367"/>
      <c r="W484" s="1367"/>
      <c r="X484" s="1367"/>
      <c r="Y484" s="1367"/>
      <c r="Z484" s="1367"/>
      <c r="AA484" s="1367"/>
      <c r="AB484" s="1367"/>
      <c r="AC484" s="1367"/>
      <c r="AD484" s="1367"/>
      <c r="AE484" s="1367"/>
      <c r="AF484" s="1367"/>
      <c r="AG484" s="1367"/>
      <c r="AH484" s="1367"/>
      <c r="AI484" s="1367"/>
      <c r="AJ484" s="1367"/>
      <c r="AK484" s="1368"/>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 customHeight="1">
      <c r="B485" s="45" t="s">
        <v>397</v>
      </c>
      <c r="C485" s="5"/>
      <c r="D485" s="5"/>
      <c r="E485" s="5"/>
      <c r="F485" s="5"/>
      <c r="G485" s="5"/>
      <c r="H485" s="5"/>
      <c r="I485" s="5"/>
      <c r="J485" s="5"/>
      <c r="K485" s="5"/>
      <c r="L485" s="5"/>
      <c r="M485" s="5"/>
      <c r="N485" s="5"/>
      <c r="O485" s="5"/>
      <c r="P485" s="5"/>
      <c r="Q485" s="1366" t="s">
        <v>2726</v>
      </c>
      <c r="R485" s="1367"/>
      <c r="S485" s="1367"/>
      <c r="T485" s="1367"/>
      <c r="U485" s="1367"/>
      <c r="V485" s="1367"/>
      <c r="W485" s="1367"/>
      <c r="X485" s="1367"/>
      <c r="Y485" s="1367"/>
      <c r="Z485" s="1367"/>
      <c r="AA485" s="1367"/>
      <c r="AB485" s="1367"/>
      <c r="AC485" s="1367"/>
      <c r="AD485" s="1367"/>
      <c r="AE485" s="1367"/>
      <c r="AF485" s="1367"/>
      <c r="AG485" s="1367"/>
      <c r="AH485" s="1367"/>
      <c r="AI485" s="1367"/>
      <c r="AJ485" s="1367"/>
      <c r="AK485" s="136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 customHeight="1">
      <c r="B486" s="45" t="s">
        <v>398</v>
      </c>
      <c r="C486" s="5"/>
      <c r="D486" s="5"/>
      <c r="E486" s="5"/>
      <c r="F486" s="5"/>
      <c r="G486" s="5"/>
      <c r="H486" s="5"/>
      <c r="I486" s="5"/>
      <c r="J486" s="5"/>
      <c r="K486" s="5"/>
      <c r="L486" s="5"/>
      <c r="M486" s="5"/>
      <c r="N486" s="5"/>
      <c r="O486" s="5"/>
      <c r="P486" s="5"/>
      <c r="Q486" s="1366" t="s">
        <v>601</v>
      </c>
      <c r="R486" s="1367"/>
      <c r="S486" s="1367"/>
      <c r="T486" s="1367"/>
      <c r="U486" s="1367"/>
      <c r="V486" s="1367"/>
      <c r="W486" s="1367"/>
      <c r="X486" s="1367"/>
      <c r="Y486" s="1367"/>
      <c r="Z486" s="1367"/>
      <c r="AA486" s="1367"/>
      <c r="AB486" s="1367"/>
      <c r="AC486" s="1367"/>
      <c r="AD486" s="1367"/>
      <c r="AE486" s="1367"/>
      <c r="AF486" s="1367"/>
      <c r="AG486" s="1367"/>
      <c r="AH486" s="1367"/>
      <c r="AI486" s="1367"/>
      <c r="AJ486" s="1367"/>
      <c r="AK486" s="1368"/>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 customHeight="1">
      <c r="B487" s="1397" t="s">
        <v>399</v>
      </c>
      <c r="C487" s="1398"/>
      <c r="D487" s="1398"/>
      <c r="E487" s="1398"/>
      <c r="F487" s="1398"/>
      <c r="G487" s="1398"/>
      <c r="H487" s="1398"/>
      <c r="I487" s="1398"/>
      <c r="J487" s="1398"/>
      <c r="K487" s="1398"/>
      <c r="L487" s="1398"/>
      <c r="M487" s="1398"/>
      <c r="N487" s="1398"/>
      <c r="O487" s="1398"/>
      <c r="P487" s="1399"/>
      <c r="Q487" s="1403" t="s">
        <v>679</v>
      </c>
      <c r="R487" s="1404"/>
      <c r="S487" s="1720" t="s">
        <v>167</v>
      </c>
      <c r="T487" s="1721"/>
      <c r="U487" s="1721"/>
      <c r="V487" s="1721"/>
      <c r="W487" s="1721"/>
      <c r="X487" s="1721"/>
      <c r="Y487" s="1721"/>
      <c r="Z487" s="1721"/>
      <c r="AA487" s="1721"/>
      <c r="AB487" s="1721"/>
      <c r="AC487" s="1721"/>
      <c r="AD487" s="1721"/>
      <c r="AE487" s="1721"/>
      <c r="AF487" s="1721"/>
      <c r="AG487" s="1721"/>
      <c r="AH487" s="1721"/>
      <c r="AI487" s="1721"/>
      <c r="AJ487" s="1721"/>
      <c r="AK487" s="1722"/>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 customHeight="1">
      <c r="B488" s="1400"/>
      <c r="C488" s="1401"/>
      <c r="D488" s="1401"/>
      <c r="E488" s="1401"/>
      <c r="F488" s="1401"/>
      <c r="G488" s="1401"/>
      <c r="H488" s="1401"/>
      <c r="I488" s="1401"/>
      <c r="J488" s="1401"/>
      <c r="K488" s="1401"/>
      <c r="L488" s="1401"/>
      <c r="M488" s="1401"/>
      <c r="N488" s="1401"/>
      <c r="O488" s="1401"/>
      <c r="P488" s="1402"/>
      <c r="Q488" s="1405"/>
      <c r="R488" s="1406"/>
      <c r="S488" s="1723"/>
      <c r="T488" s="1444"/>
      <c r="U488" s="1444"/>
      <c r="V488" s="1444"/>
      <c r="W488" s="1444"/>
      <c r="X488" s="1444"/>
      <c r="Y488" s="1444"/>
      <c r="Z488" s="1444"/>
      <c r="AA488" s="1444"/>
      <c r="AB488" s="1444"/>
      <c r="AC488" s="1444"/>
      <c r="AD488" s="1444"/>
      <c r="AE488" s="1444"/>
      <c r="AF488" s="1444"/>
      <c r="AG488" s="1444"/>
      <c r="AH488" s="1444"/>
      <c r="AI488" s="1444"/>
      <c r="AJ488" s="1444"/>
      <c r="AK488" s="1724"/>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 customHeight="1">
      <c r="B489" s="932" t="s">
        <v>1851</v>
      </c>
      <c r="C489" s="909"/>
      <c r="D489" s="909"/>
      <c r="E489" s="909"/>
      <c r="F489" s="909"/>
      <c r="G489" s="909"/>
      <c r="H489" s="909"/>
      <c r="I489" s="909"/>
      <c r="J489" s="909"/>
      <c r="K489" s="909"/>
      <c r="L489" s="909"/>
      <c r="M489" s="909"/>
      <c r="N489" s="909"/>
      <c r="O489" s="909"/>
      <c r="P489" s="909"/>
      <c r="Q489" s="1452" t="s">
        <v>679</v>
      </c>
      <c r="R489" s="1453"/>
      <c r="S489" s="1453"/>
      <c r="T489" s="1453"/>
      <c r="U489" s="1453"/>
      <c r="V489" s="1453"/>
      <c r="W489" s="1453"/>
      <c r="X489" s="1453"/>
      <c r="Y489" s="1453"/>
      <c r="Z489" s="1453"/>
      <c r="AA489" s="1453"/>
      <c r="AB489" s="1453"/>
      <c r="AC489" s="1453"/>
      <c r="AD489" s="1453"/>
      <c r="AE489" s="1453"/>
      <c r="AF489" s="1453"/>
      <c r="AG489" s="1453"/>
      <c r="AH489" s="1453"/>
      <c r="AI489" s="1453"/>
      <c r="AJ489" s="1453"/>
      <c r="AK489" s="1454"/>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 customHeight="1">
      <c r="B490" s="45" t="s">
        <v>400</v>
      </c>
      <c r="C490" s="5"/>
      <c r="D490" s="5"/>
      <c r="E490" s="5"/>
      <c r="F490" s="5"/>
      <c r="G490" s="5"/>
      <c r="H490" s="5"/>
      <c r="I490" s="5"/>
      <c r="J490" s="5"/>
      <c r="K490" s="5"/>
      <c r="L490" s="5"/>
      <c r="M490" s="5"/>
      <c r="N490" s="5"/>
      <c r="O490" s="5"/>
      <c r="P490" s="5"/>
      <c r="Q490" s="1366" t="s">
        <v>2728</v>
      </c>
      <c r="R490" s="1367"/>
      <c r="S490" s="1367"/>
      <c r="T490" s="1367"/>
      <c r="U490" s="1367"/>
      <c r="V490" s="1367"/>
      <c r="W490" s="1367"/>
      <c r="X490" s="1367"/>
      <c r="Y490" s="1367"/>
      <c r="Z490" s="1367"/>
      <c r="AA490" s="1367"/>
      <c r="AB490" s="1367"/>
      <c r="AC490" s="1367"/>
      <c r="AD490" s="1367"/>
      <c r="AE490" s="1367"/>
      <c r="AF490" s="1367"/>
      <c r="AG490" s="1367"/>
      <c r="AH490" s="1367"/>
      <c r="AI490" s="1367"/>
      <c r="AJ490" s="1367"/>
      <c r="AK490" s="1368"/>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 customHeight="1">
      <c r="B491" s="45" t="s">
        <v>401</v>
      </c>
      <c r="C491" s="5"/>
      <c r="D491" s="5"/>
      <c r="E491" s="5"/>
      <c r="F491" s="5"/>
      <c r="G491" s="5"/>
      <c r="H491" s="5"/>
      <c r="I491" s="5"/>
      <c r="J491" s="5"/>
      <c r="K491" s="5"/>
      <c r="L491" s="5"/>
      <c r="M491" s="5"/>
      <c r="N491" s="5"/>
      <c r="O491" s="5"/>
      <c r="P491" s="5"/>
      <c r="Q491" s="1366" t="s">
        <v>2724</v>
      </c>
      <c r="R491" s="1367"/>
      <c r="S491" s="1367"/>
      <c r="T491" s="1367"/>
      <c r="U491" s="1367"/>
      <c r="V491" s="1367"/>
      <c r="W491" s="1367"/>
      <c r="X491" s="1367"/>
      <c r="Y491" s="1367"/>
      <c r="Z491" s="1367"/>
      <c r="AA491" s="1367"/>
      <c r="AB491" s="1367"/>
      <c r="AC491" s="1367"/>
      <c r="AD491" s="1367"/>
      <c r="AE491" s="1367"/>
      <c r="AF491" s="1367"/>
      <c r="AG491" s="1367"/>
      <c r="AH491" s="1367"/>
      <c r="AI491" s="1367"/>
      <c r="AJ491" s="1367"/>
      <c r="AK491" s="1368"/>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 customHeight="1">
      <c r="B492" s="121" t="s">
        <v>1848</v>
      </c>
      <c r="C492" s="5"/>
      <c r="D492" s="5"/>
      <c r="E492" s="5"/>
      <c r="F492" s="5"/>
      <c r="G492" s="5"/>
      <c r="H492" s="5"/>
      <c r="I492" s="5"/>
      <c r="J492" s="5"/>
      <c r="K492" s="5"/>
      <c r="L492" s="5"/>
      <c r="M492" s="5"/>
      <c r="N492" s="5"/>
      <c r="O492" s="5"/>
      <c r="P492" s="5"/>
      <c r="Q492" s="1366" t="s">
        <v>2725</v>
      </c>
      <c r="R492" s="1367"/>
      <c r="S492" s="1367"/>
      <c r="T492" s="1367"/>
      <c r="U492" s="1367"/>
      <c r="V492" s="1367"/>
      <c r="W492" s="1367"/>
      <c r="X492" s="1367"/>
      <c r="Y492" s="1367"/>
      <c r="Z492" s="1367"/>
      <c r="AA492" s="1367"/>
      <c r="AB492" s="1367"/>
      <c r="AC492" s="1367"/>
      <c r="AD492" s="1367"/>
      <c r="AE492" s="1367"/>
      <c r="AF492" s="1367"/>
      <c r="AG492" s="1367"/>
      <c r="AH492" s="1367"/>
      <c r="AI492" s="1367"/>
      <c r="AJ492" s="1367"/>
      <c r="AK492" s="1368"/>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 customHeight="1">
      <c r="B493" s="121" t="s">
        <v>1849</v>
      </c>
      <c r="C493" s="5"/>
      <c r="D493" s="5"/>
      <c r="E493" s="5"/>
      <c r="F493" s="5"/>
      <c r="G493" s="5"/>
      <c r="H493" s="5"/>
      <c r="I493" s="5"/>
      <c r="J493" s="5"/>
      <c r="K493" s="5"/>
      <c r="L493" s="5"/>
      <c r="M493" s="1429">
        <v>243</v>
      </c>
      <c r="N493" s="1430"/>
      <c r="O493" s="1430"/>
      <c r="P493" s="1431"/>
      <c r="Q493" s="121" t="s">
        <v>1850</v>
      </c>
      <c r="R493" s="5"/>
      <c r="S493" s="5"/>
      <c r="T493" s="5"/>
      <c r="U493" s="5"/>
      <c r="V493" s="5"/>
      <c r="W493" s="5"/>
      <c r="X493" s="5"/>
      <c r="Y493" s="5"/>
      <c r="Z493" s="5"/>
      <c r="AA493" s="5"/>
      <c r="AB493" s="5"/>
      <c r="AC493" s="5"/>
      <c r="AD493" s="5"/>
      <c r="AE493" s="5"/>
      <c r="AF493" s="5"/>
      <c r="AG493" s="5"/>
      <c r="AH493" s="1429"/>
      <c r="AI493" s="1430"/>
      <c r="AJ493" s="1430"/>
      <c r="AK493" s="1431"/>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2" t="s">
        <v>403</v>
      </c>
      <c r="AD497" s="1418"/>
      <c r="AE497" s="1418"/>
      <c r="AF497" s="1418"/>
      <c r="AG497" s="1418"/>
      <c r="AH497" s="1418"/>
      <c r="AI497" s="1418"/>
      <c r="AJ497" s="1418"/>
      <c r="AK497" s="1419"/>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2" t="s">
        <v>404</v>
      </c>
      <c r="AD498" s="1418"/>
      <c r="AE498" s="1418"/>
      <c r="AF498" s="1418"/>
      <c r="AG498" s="50" t="s">
        <v>405</v>
      </c>
      <c r="AH498" s="1418" t="s">
        <v>406</v>
      </c>
      <c r="AI498" s="1418"/>
      <c r="AJ498" s="1418"/>
      <c r="AK498" s="1419"/>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 customHeight="1">
      <c r="B499" s="1409" t="s">
        <v>407</v>
      </c>
      <c r="C499" s="1410"/>
      <c r="D499" s="1410"/>
      <c r="E499" s="1410"/>
      <c r="F499" s="1410"/>
      <c r="G499" s="1410"/>
      <c r="H499" s="1411"/>
      <c r="I499" s="42" t="s">
        <v>408</v>
      </c>
      <c r="J499" s="42"/>
      <c r="K499" s="42"/>
      <c r="L499" s="42"/>
      <c r="M499" s="42"/>
      <c r="N499" s="42"/>
      <c r="O499" s="42"/>
      <c r="P499" s="42"/>
      <c r="Q499" s="42"/>
      <c r="R499" s="42"/>
      <c r="S499" s="42"/>
      <c r="T499" s="42"/>
      <c r="U499" s="42"/>
      <c r="V499" s="42"/>
      <c r="W499" s="42"/>
      <c r="AC499" s="1378" t="s">
        <v>601</v>
      </c>
      <c r="AD499" s="1379"/>
      <c r="AE499" s="1379"/>
      <c r="AF499" s="1379"/>
      <c r="AG499" s="13" t="s">
        <v>405</v>
      </c>
      <c r="AH499" s="1356">
        <v>0</v>
      </c>
      <c r="AI499" s="1356"/>
      <c r="AJ499" s="1356"/>
      <c r="AK499" s="1357"/>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 customHeight="1">
      <c r="B500" s="1412"/>
      <c r="C500" s="1413"/>
      <c r="D500" s="1413"/>
      <c r="E500" s="1413"/>
      <c r="F500" s="1413"/>
      <c r="G500" s="1413"/>
      <c r="H500" s="1414"/>
      <c r="I500" s="48" t="s">
        <v>409</v>
      </c>
      <c r="J500" s="48"/>
      <c r="K500" s="48"/>
      <c r="L500" s="48"/>
      <c r="M500" s="48"/>
      <c r="N500" s="48"/>
      <c r="O500" s="48"/>
      <c r="P500" s="48"/>
      <c r="Q500" s="48"/>
      <c r="R500" s="48"/>
      <c r="S500" s="48"/>
      <c r="T500" s="48"/>
      <c r="U500" s="48"/>
      <c r="V500" s="48"/>
      <c r="W500" s="48"/>
      <c r="X500" s="48"/>
      <c r="Y500" s="48"/>
      <c r="Z500" s="48"/>
      <c r="AA500" s="48"/>
      <c r="AB500" s="48"/>
      <c r="AC500" s="1378">
        <v>6</v>
      </c>
      <c r="AD500" s="1379"/>
      <c r="AE500" s="1379"/>
      <c r="AF500" s="1379"/>
      <c r="AG500" s="38" t="s">
        <v>405</v>
      </c>
      <c r="AH500" s="1356">
        <v>2024</v>
      </c>
      <c r="AI500" s="1356"/>
      <c r="AJ500" s="1356"/>
      <c r="AK500" s="1357"/>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 customHeight="1">
      <c r="B501" s="1409" t="s">
        <v>410</v>
      </c>
      <c r="C501" s="1410"/>
      <c r="D501" s="1410"/>
      <c r="E501" s="1410"/>
      <c r="F501" s="1410"/>
      <c r="G501" s="1410"/>
      <c r="H501" s="1411"/>
      <c r="I501" s="42" t="s">
        <v>411</v>
      </c>
      <c r="J501" s="42"/>
      <c r="K501" s="42"/>
      <c r="L501" s="42"/>
      <c r="M501" s="42"/>
      <c r="N501" s="42"/>
      <c r="O501" s="42"/>
      <c r="P501" s="42"/>
      <c r="Q501" s="42"/>
      <c r="R501" s="42"/>
      <c r="S501" s="42"/>
      <c r="T501" s="42"/>
      <c r="U501" s="42"/>
      <c r="V501" s="42"/>
      <c r="W501" s="42"/>
      <c r="AC501" s="1378" t="s">
        <v>601</v>
      </c>
      <c r="AD501" s="1379"/>
      <c r="AE501" s="1379"/>
      <c r="AF501" s="1379"/>
      <c r="AG501" s="13" t="s">
        <v>405</v>
      </c>
      <c r="AH501" s="1356"/>
      <c r="AI501" s="1356"/>
      <c r="AJ501" s="1356"/>
      <c r="AK501" s="1357"/>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 customHeight="1">
      <c r="B502" s="1412"/>
      <c r="C502" s="1413"/>
      <c r="D502" s="1413"/>
      <c r="E502" s="1413"/>
      <c r="F502" s="1413"/>
      <c r="G502" s="1413"/>
      <c r="H502" s="1414"/>
      <c r="I502" t="s">
        <v>412</v>
      </c>
      <c r="AC502" s="1378" t="s">
        <v>601</v>
      </c>
      <c r="AD502" s="1379"/>
      <c r="AE502" s="1379"/>
      <c r="AF502" s="1379"/>
      <c r="AG502" s="13" t="s">
        <v>405</v>
      </c>
      <c r="AH502" s="1356"/>
      <c r="AI502" s="1356"/>
      <c r="AJ502" s="1356"/>
      <c r="AK502" s="1357"/>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 customHeight="1">
      <c r="B503" s="1412"/>
      <c r="C503" s="1413"/>
      <c r="D503" s="1413"/>
      <c r="E503" s="1413"/>
      <c r="F503" s="1413"/>
      <c r="G503" s="1413"/>
      <c r="H503" s="1414"/>
      <c r="I503" t="s">
        <v>413</v>
      </c>
      <c r="AC503" s="1378" t="s">
        <v>601</v>
      </c>
      <c r="AD503" s="1379"/>
      <c r="AE503" s="1379"/>
      <c r="AF503" s="1379"/>
      <c r="AG503" s="13" t="s">
        <v>405</v>
      </c>
      <c r="AH503" s="1356"/>
      <c r="AI503" s="1356"/>
      <c r="AJ503" s="1356"/>
      <c r="AK503" s="1357"/>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 customHeight="1">
      <c r="B504" s="1412"/>
      <c r="C504" s="1413"/>
      <c r="D504" s="1413"/>
      <c r="E504" s="1413"/>
      <c r="F504" s="1413"/>
      <c r="G504" s="1413"/>
      <c r="H504" s="1414"/>
      <c r="I504" t="s">
        <v>414</v>
      </c>
      <c r="AC504" s="1378" t="s">
        <v>601</v>
      </c>
      <c r="AD504" s="1379"/>
      <c r="AE504" s="1379"/>
      <c r="AF504" s="1379"/>
      <c r="AG504" s="13" t="s">
        <v>405</v>
      </c>
      <c r="AH504" s="1356"/>
      <c r="AI504" s="1356"/>
      <c r="AJ504" s="1356"/>
      <c r="AK504" s="1357"/>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 customHeight="1">
      <c r="B505" s="1412"/>
      <c r="C505" s="1413"/>
      <c r="D505" s="1413"/>
      <c r="E505" s="1413"/>
      <c r="F505" s="1413"/>
      <c r="G505" s="1413"/>
      <c r="H505" s="1414"/>
      <c r="I505" s="3" t="s">
        <v>415</v>
      </c>
      <c r="AC505" s="1380" t="s">
        <v>601</v>
      </c>
      <c r="AD505" s="1381"/>
      <c r="AE505" s="1381"/>
      <c r="AF505" s="1381"/>
      <c r="AG505" s="13" t="s">
        <v>405</v>
      </c>
      <c r="AH505" s="1356"/>
      <c r="AI505" s="1356"/>
      <c r="AJ505" s="1356"/>
      <c r="AK505" s="1357"/>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 customHeight="1">
      <c r="B506" s="1412"/>
      <c r="C506" s="1413"/>
      <c r="D506" s="1413"/>
      <c r="E506" s="1413"/>
      <c r="F506" s="1413"/>
      <c r="G506" s="1413"/>
      <c r="H506" s="1414"/>
      <c r="I506" s="933" t="s">
        <v>171</v>
      </c>
      <c r="J506" s="48"/>
      <c r="K506" s="48"/>
      <c r="L506" s="1407" t="s">
        <v>336</v>
      </c>
      <c r="M506" s="1408"/>
      <c r="N506" s="1408"/>
      <c r="O506" s="1408"/>
      <c r="P506" s="1408"/>
      <c r="Q506" s="1408"/>
      <c r="R506" s="1408"/>
      <c r="S506" s="1408"/>
      <c r="T506" s="1408"/>
      <c r="U506" s="1408"/>
      <c r="V506" s="1408"/>
      <c r="W506" s="1408"/>
      <c r="X506" s="1408"/>
      <c r="Y506" s="1408"/>
      <c r="Z506" s="1408"/>
      <c r="AA506" s="1408"/>
      <c r="AB506" s="1433"/>
      <c r="AC506" s="1378" t="s">
        <v>601</v>
      </c>
      <c r="AD506" s="1379"/>
      <c r="AE506" s="1379"/>
      <c r="AF506" s="1379"/>
      <c r="AG506" s="38" t="s">
        <v>405</v>
      </c>
      <c r="AH506" s="1356"/>
      <c r="AI506" s="1356"/>
      <c r="AJ506" s="1356"/>
      <c r="AK506" s="1357"/>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 customHeight="1">
      <c r="B507" s="907"/>
      <c r="C507" s="130"/>
      <c r="D507" s="130"/>
      <c r="E507" s="130"/>
      <c r="F507" s="130"/>
      <c r="G507" s="130"/>
      <c r="H507" s="908"/>
      <c r="I507" s="3" t="s">
        <v>1855</v>
      </c>
      <c r="AC507" s="1358" t="s">
        <v>679</v>
      </c>
      <c r="AD507" s="1358"/>
      <c r="AE507" s="1358"/>
      <c r="AF507" s="1358"/>
      <c r="AG507" s="13"/>
      <c r="AH507" s="1300"/>
      <c r="AI507" s="1300"/>
      <c r="AJ507" s="1300"/>
      <c r="AK507" s="138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 customHeight="1">
      <c r="B508" s="907"/>
      <c r="C508" s="130"/>
      <c r="D508" s="130"/>
      <c r="E508" s="130"/>
      <c r="F508" s="130"/>
      <c r="G508" s="130"/>
      <c r="H508" s="908"/>
      <c r="I508" t="s">
        <v>1852</v>
      </c>
      <c r="AC508" s="1380"/>
      <c r="AD508" s="1381"/>
      <c r="AE508" s="1381"/>
      <c r="AF508" s="1382"/>
      <c r="AG508" s="13"/>
      <c r="AH508" s="1300"/>
      <c r="AI508" s="1300"/>
      <c r="AJ508" s="1300"/>
      <c r="AK508" s="138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 customHeight="1">
      <c r="B509" s="907"/>
      <c r="C509" s="130"/>
      <c r="D509" s="130"/>
      <c r="E509" s="130"/>
      <c r="F509" s="130"/>
      <c r="G509" s="130"/>
      <c r="H509" s="908"/>
      <c r="I509" t="s">
        <v>1853</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 customHeight="1">
      <c r="B510" s="907"/>
      <c r="C510" s="130"/>
      <c r="D510" s="130"/>
      <c r="E510" s="130"/>
      <c r="F510" s="130"/>
      <c r="G510" s="130"/>
      <c r="H510" s="908"/>
      <c r="I510" s="934" t="s">
        <v>1854</v>
      </c>
      <c r="J510" s="48"/>
      <c r="K510" s="48"/>
      <c r="L510" s="48"/>
      <c r="M510" s="48"/>
      <c r="N510" s="48"/>
      <c r="O510" s="48"/>
      <c r="P510" s="48"/>
      <c r="Q510" s="48"/>
      <c r="R510" s="48"/>
      <c r="S510" s="48"/>
      <c r="T510" s="48"/>
      <c r="U510" s="48"/>
      <c r="V510" s="48"/>
      <c r="W510" s="48"/>
      <c r="X510" s="48"/>
      <c r="Y510" s="48"/>
      <c r="Z510" s="48"/>
      <c r="AA510" s="48"/>
      <c r="AB510" s="48"/>
      <c r="AC510" s="1384"/>
      <c r="AD510" s="1385"/>
      <c r="AE510" s="1385"/>
      <c r="AF510" s="1386"/>
      <c r="AG510" s="38"/>
      <c r="AH510" s="1387"/>
      <c r="AI510" s="1387"/>
      <c r="AJ510" s="1387"/>
      <c r="AK510" s="138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49" t="s">
        <v>404</v>
      </c>
      <c r="AD511" s="1450"/>
      <c r="AE511" s="1450"/>
      <c r="AF511" s="1450"/>
      <c r="AG511" s="38" t="s">
        <v>405</v>
      </c>
      <c r="AH511" s="1450" t="s">
        <v>406</v>
      </c>
      <c r="AI511" s="1450"/>
      <c r="AJ511" s="1450"/>
      <c r="AK511" s="1451"/>
      <c r="AZ511" s="3"/>
      <c r="BA511" s="3"/>
      <c r="BB511" s="3"/>
      <c r="BC511" s="3"/>
      <c r="BD511" s="3"/>
      <c r="BE511" s="3"/>
      <c r="BF511" s="3"/>
      <c r="BG511" s="3"/>
      <c r="BH511" s="3"/>
      <c r="BI511" s="3"/>
      <c r="BJ511" s="3"/>
      <c r="BK511" s="3"/>
      <c r="BL511" s="3"/>
      <c r="BM511" s="3"/>
      <c r="BN511" s="3" t="s">
        <v>1326</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 customHeight="1">
      <c r="B512" s="1409" t="s">
        <v>416</v>
      </c>
      <c r="C512" s="1410"/>
      <c r="D512" s="1410"/>
      <c r="E512" s="1410"/>
      <c r="F512" s="1410"/>
      <c r="G512" s="1410"/>
      <c r="H512" s="1411"/>
      <c r="I512" s="42" t="s">
        <v>417</v>
      </c>
      <c r="J512" s="42"/>
      <c r="K512" s="42"/>
      <c r="L512" s="42"/>
      <c r="M512" s="42"/>
      <c r="N512" s="42"/>
      <c r="O512" s="42"/>
      <c r="P512" s="42"/>
      <c r="Q512" s="42"/>
      <c r="R512" s="42"/>
      <c r="S512" s="42"/>
      <c r="T512" s="42"/>
      <c r="U512" s="42"/>
      <c r="V512" s="42"/>
      <c r="W512" s="42"/>
      <c r="AC512" s="1378">
        <v>9</v>
      </c>
      <c r="AD512" s="1379"/>
      <c r="AE512" s="1379"/>
      <c r="AF512" s="1379"/>
      <c r="AG512" s="13" t="s">
        <v>405</v>
      </c>
      <c r="AH512" s="1356">
        <v>2023</v>
      </c>
      <c r="AI512" s="1356"/>
      <c r="AJ512" s="1356"/>
      <c r="AK512" s="1357"/>
      <c r="AZ512" s="3"/>
      <c r="BA512" s="3"/>
      <c r="BB512" s="3"/>
      <c r="BC512" s="3"/>
      <c r="BD512" s="3"/>
      <c r="BE512" s="3"/>
      <c r="BF512" s="3"/>
      <c r="BG512" s="3"/>
      <c r="BH512" s="3"/>
      <c r="BI512" s="3"/>
      <c r="BJ512" s="3"/>
      <c r="BK512" s="3"/>
      <c r="BL512" s="3"/>
      <c r="BM512" s="3"/>
      <c r="BN512" s="3" t="s">
        <v>2525</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 customHeight="1">
      <c r="B513" s="1412"/>
      <c r="C513" s="1413"/>
      <c r="D513" s="1413"/>
      <c r="E513" s="1413"/>
      <c r="F513" s="1413"/>
      <c r="G513" s="1413"/>
      <c r="H513" s="1414"/>
      <c r="I513" t="s">
        <v>418</v>
      </c>
      <c r="AC513" s="1378">
        <v>9</v>
      </c>
      <c r="AD513" s="1379"/>
      <c r="AE513" s="1379"/>
      <c r="AF513" s="1379"/>
      <c r="AG513" s="13" t="s">
        <v>405</v>
      </c>
      <c r="AH513" s="1356">
        <v>2023</v>
      </c>
      <c r="AI513" s="1356"/>
      <c r="AJ513" s="1356"/>
      <c r="AK513" s="1357"/>
      <c r="AZ513" s="3"/>
      <c r="BA513" s="3"/>
      <c r="BB513" s="3"/>
      <c r="BC513" s="3"/>
      <c r="BD513" s="3"/>
      <c r="BE513" s="3"/>
      <c r="BF513" s="3"/>
      <c r="BG513" s="3"/>
      <c r="BH513" s="3"/>
      <c r="BI513" s="3"/>
      <c r="BJ513" s="3"/>
      <c r="BK513" s="3"/>
      <c r="BL513" s="3"/>
      <c r="BM513" s="3"/>
      <c r="BN513" s="3" t="s">
        <v>2526</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 customHeight="1">
      <c r="B514" s="1412"/>
      <c r="C514" s="1413"/>
      <c r="D514" s="1413"/>
      <c r="E514" s="1413"/>
      <c r="F514" s="1413"/>
      <c r="G514" s="1413"/>
      <c r="H514" s="1414"/>
      <c r="I514" s="48" t="s">
        <v>419</v>
      </c>
      <c r="J514" s="48"/>
      <c r="K514" s="48"/>
      <c r="L514" s="48"/>
      <c r="M514" s="48"/>
      <c r="N514" s="48"/>
      <c r="O514" s="48"/>
      <c r="P514" s="48"/>
      <c r="Q514" s="48"/>
      <c r="R514" s="48"/>
      <c r="S514" s="48"/>
      <c r="T514" s="48"/>
      <c r="U514" s="48"/>
      <c r="V514" s="48"/>
      <c r="W514" s="48"/>
      <c r="X514" s="48"/>
      <c r="Y514" s="48"/>
      <c r="Z514" s="48"/>
      <c r="AA514" s="48"/>
      <c r="AB514" s="48"/>
      <c r="AC514" s="1378">
        <v>6</v>
      </c>
      <c r="AD514" s="1379"/>
      <c r="AE514" s="1379"/>
      <c r="AF514" s="1379"/>
      <c r="AG514" s="38" t="s">
        <v>405</v>
      </c>
      <c r="AH514" s="1356">
        <v>2024</v>
      </c>
      <c r="AI514" s="1356"/>
      <c r="AJ514" s="1356"/>
      <c r="AK514" s="1357"/>
      <c r="AZ514" s="3"/>
      <c r="BA514" s="3"/>
      <c r="BB514" s="3"/>
      <c r="BC514" s="3"/>
      <c r="BD514" s="3"/>
      <c r="BE514" s="3"/>
      <c r="BF514" s="3"/>
      <c r="BG514" s="3"/>
      <c r="BH514" s="3"/>
      <c r="BI514" s="3"/>
      <c r="BJ514" s="3"/>
      <c r="BK514" s="3"/>
      <c r="BL514" s="3"/>
      <c r="BM514" s="3"/>
      <c r="BN514" s="3" t="s">
        <v>2527</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 customHeight="1">
      <c r="B515" s="1409" t="s">
        <v>420</v>
      </c>
      <c r="C515" s="1410"/>
      <c r="D515" s="1410"/>
      <c r="E515" s="1410"/>
      <c r="F515" s="1410"/>
      <c r="G515" s="1410"/>
      <c r="H515" s="1411"/>
      <c r="I515" s="42" t="s">
        <v>417</v>
      </c>
      <c r="J515" s="42"/>
      <c r="K515" s="42"/>
      <c r="L515" s="42"/>
      <c r="M515" s="42"/>
      <c r="N515" s="42"/>
      <c r="O515" s="42"/>
      <c r="P515" s="42"/>
      <c r="Q515" s="42"/>
      <c r="R515" s="42"/>
      <c r="S515" s="42"/>
      <c r="T515" s="42"/>
      <c r="U515" s="42"/>
      <c r="V515" s="42"/>
      <c r="W515" s="42"/>
      <c r="X515" s="42"/>
      <c r="Y515" s="42"/>
      <c r="Z515" s="42"/>
      <c r="AA515" s="42"/>
      <c r="AB515" s="42"/>
      <c r="AC515" s="1380">
        <v>9</v>
      </c>
      <c r="AD515" s="1381"/>
      <c r="AE515" s="1381"/>
      <c r="AF515" s="1381"/>
      <c r="AG515" s="129" t="s">
        <v>405</v>
      </c>
      <c r="AH515" s="1356">
        <v>2023</v>
      </c>
      <c r="AI515" s="1356"/>
      <c r="AJ515" s="1356"/>
      <c r="AK515" s="1357"/>
      <c r="AZ515" s="3"/>
      <c r="BA515" s="3"/>
      <c r="BB515" s="3"/>
      <c r="BC515" s="3"/>
      <c r="BD515" s="3"/>
      <c r="BE515" s="3"/>
      <c r="BF515" s="3"/>
      <c r="BG515" s="3"/>
      <c r="BH515" s="3"/>
      <c r="BI515" s="3"/>
      <c r="BJ515" s="3"/>
      <c r="BK515" s="3"/>
      <c r="BL515" s="3"/>
      <c r="BM515" s="3"/>
      <c r="BN515" s="3" t="s">
        <v>2528</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 customHeight="1">
      <c r="B516" s="1412"/>
      <c r="C516" s="1413"/>
      <c r="D516" s="1413"/>
      <c r="E516" s="1413"/>
      <c r="F516" s="1413"/>
      <c r="G516" s="1413"/>
      <c r="H516" s="1414"/>
      <c r="I516" t="s">
        <v>418</v>
      </c>
      <c r="AC516" s="1378">
        <v>9</v>
      </c>
      <c r="AD516" s="1379"/>
      <c r="AE516" s="1379"/>
      <c r="AF516" s="1379"/>
      <c r="AG516" s="13" t="s">
        <v>405</v>
      </c>
      <c r="AH516" s="1356">
        <v>2023</v>
      </c>
      <c r="AI516" s="1356"/>
      <c r="AJ516" s="1356"/>
      <c r="AK516" s="1357"/>
      <c r="AZ516" s="3"/>
      <c r="BB516" s="3"/>
      <c r="BC516" s="3"/>
      <c r="BD516" s="3"/>
      <c r="BE516" s="3"/>
      <c r="BF516" s="3"/>
      <c r="BG516" s="3"/>
      <c r="BH516" s="3"/>
      <c r="BI516" s="3"/>
      <c r="BJ516" s="3"/>
      <c r="BK516" s="3"/>
      <c r="BL516" s="3"/>
      <c r="BM516" s="3"/>
      <c r="BN516" s="3" t="s">
        <v>2529</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 customHeight="1">
      <c r="B517" s="1415"/>
      <c r="C517" s="1416"/>
      <c r="D517" s="1416"/>
      <c r="E517" s="1416"/>
      <c r="F517" s="1416"/>
      <c r="G517" s="1416"/>
      <c r="H517" s="1417"/>
      <c r="I517" s="48" t="s">
        <v>419</v>
      </c>
      <c r="J517" s="48"/>
      <c r="K517" s="48"/>
      <c r="L517" s="48"/>
      <c r="M517" s="48"/>
      <c r="N517" s="48"/>
      <c r="O517" s="48"/>
      <c r="P517" s="48"/>
      <c r="Q517" s="48"/>
      <c r="R517" s="48"/>
      <c r="S517" s="48"/>
      <c r="T517" s="48"/>
      <c r="U517" s="48"/>
      <c r="V517" s="48"/>
      <c r="W517" s="48"/>
      <c r="X517" s="48"/>
      <c r="Y517" s="48"/>
      <c r="Z517" s="48"/>
      <c r="AA517" s="48"/>
      <c r="AB517" s="48"/>
      <c r="AC517" s="1378">
        <v>12</v>
      </c>
      <c r="AD517" s="1379"/>
      <c r="AE517" s="1379"/>
      <c r="AF517" s="1379"/>
      <c r="AG517" s="38" t="s">
        <v>405</v>
      </c>
      <c r="AH517" s="1356">
        <v>2026</v>
      </c>
      <c r="AI517" s="1356"/>
      <c r="AJ517" s="1356"/>
      <c r="AK517" s="1357"/>
      <c r="BB517" s="3"/>
      <c r="BC517" s="3"/>
      <c r="BD517" s="3"/>
      <c r="BE517" s="3"/>
      <c r="BF517" s="3"/>
      <c r="BG517" s="3"/>
      <c r="BH517" s="3"/>
      <c r="BI517" s="3"/>
      <c r="BJ517" s="3"/>
      <c r="BK517" s="3"/>
      <c r="BL517" s="3"/>
      <c r="BM517" s="3"/>
      <c r="BN517" s="3" t="s">
        <v>2530</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 customHeight="1">
      <c r="B518" s="1409" t="s">
        <v>421</v>
      </c>
      <c r="C518" s="1410"/>
      <c r="D518" s="1410"/>
      <c r="E518" s="1410"/>
      <c r="F518" s="1410"/>
      <c r="G518" s="1410"/>
      <c r="H518" s="1411"/>
      <c r="I518" s="41" t="s">
        <v>422</v>
      </c>
      <c r="J518" s="42"/>
      <c r="K518" s="42"/>
      <c r="L518" s="42"/>
      <c r="M518" s="42"/>
      <c r="N518" s="42"/>
      <c r="O518" s="1407" t="s">
        <v>336</v>
      </c>
      <c r="P518" s="1408"/>
      <c r="Q518" s="1408"/>
      <c r="R518" s="1408"/>
      <c r="S518" s="1408"/>
      <c r="T518" s="1408"/>
      <c r="U518" s="1408"/>
      <c r="V518" s="1408"/>
      <c r="W518" s="1408"/>
      <c r="X518" s="1408"/>
      <c r="Y518" s="1408"/>
      <c r="Z518" s="1408"/>
      <c r="AA518" s="1408"/>
      <c r="AB518" s="58"/>
      <c r="AC518" s="1380" t="s">
        <v>601</v>
      </c>
      <c r="AD518" s="1381"/>
      <c r="AE518" s="1381"/>
      <c r="AF518" s="1381"/>
      <c r="AG518" s="129" t="s">
        <v>405</v>
      </c>
      <c r="AH518" s="1356"/>
      <c r="AI518" s="1356"/>
      <c r="AJ518" s="1356"/>
      <c r="AK518" s="1357"/>
      <c r="BB518" s="3"/>
      <c r="BC518" s="3"/>
      <c r="BD518" s="3"/>
      <c r="BE518" s="3"/>
      <c r="BF518" s="3"/>
      <c r="BG518" s="3"/>
      <c r="BH518" s="3"/>
      <c r="BI518" s="3"/>
      <c r="BJ518" s="3"/>
      <c r="BK518" s="3"/>
      <c r="BL518" s="3"/>
      <c r="BM518" s="3"/>
      <c r="BN518" s="3" t="s">
        <v>2531</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 customHeight="1">
      <c r="B519" s="1412"/>
      <c r="C519" s="1413"/>
      <c r="D519" s="1413"/>
      <c r="E519" s="1413"/>
      <c r="F519" s="1413"/>
      <c r="G519" s="1413"/>
      <c r="H519" s="1414"/>
      <c r="I519" s="114" t="s">
        <v>423</v>
      </c>
      <c r="AB519" s="65"/>
      <c r="AC519" s="1378" t="s">
        <v>601</v>
      </c>
      <c r="AD519" s="1379"/>
      <c r="AE519" s="1379"/>
      <c r="AF519" s="1379"/>
      <c r="AG519" s="13" t="s">
        <v>405</v>
      </c>
      <c r="AH519" s="1356"/>
      <c r="AI519" s="1356"/>
      <c r="AJ519" s="1356"/>
      <c r="AK519" s="1357"/>
      <c r="AZ519" s="3"/>
      <c r="BB519" s="3"/>
      <c r="BC519" s="3"/>
      <c r="BD519" s="3"/>
      <c r="BE519" s="3"/>
      <c r="BF519" s="3"/>
      <c r="BG519" s="3"/>
      <c r="BH519" s="3"/>
      <c r="BI519" s="3"/>
      <c r="BJ519" s="3"/>
      <c r="BK519" s="3"/>
      <c r="BL519" s="3"/>
      <c r="BM519" s="3"/>
      <c r="BN519" s="3" t="s">
        <v>2532</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 customHeight="1">
      <c r="B520" s="1412"/>
      <c r="C520" s="1413"/>
      <c r="D520" s="1413"/>
      <c r="E520" s="1413"/>
      <c r="F520" s="1413"/>
      <c r="G520" s="1413"/>
      <c r="H520" s="1414"/>
      <c r="I520" s="47" t="s">
        <v>424</v>
      </c>
      <c r="J520" s="48"/>
      <c r="K520" s="48"/>
      <c r="L520" s="48"/>
      <c r="M520" s="48"/>
      <c r="N520" s="48"/>
      <c r="O520" s="48"/>
      <c r="P520" s="48"/>
      <c r="Q520" s="48"/>
      <c r="R520" s="48"/>
      <c r="S520" s="48"/>
      <c r="T520" s="48"/>
      <c r="U520" s="48"/>
      <c r="V520" s="48"/>
      <c r="W520" s="48"/>
      <c r="X520" s="48"/>
      <c r="Y520" s="48"/>
      <c r="Z520" s="48"/>
      <c r="AA520" s="48"/>
      <c r="AB520" s="49"/>
      <c r="AC520" s="1378" t="s">
        <v>601</v>
      </c>
      <c r="AD520" s="1379"/>
      <c r="AE520" s="1379"/>
      <c r="AF520" s="1379"/>
      <c r="AG520" s="38" t="s">
        <v>405</v>
      </c>
      <c r="AH520" s="1356"/>
      <c r="AI520" s="1356"/>
      <c r="AJ520" s="1356"/>
      <c r="AK520" s="1357"/>
      <c r="AZ520" s="3"/>
      <c r="BB520" s="3"/>
      <c r="BC520" s="3"/>
      <c r="BD520" s="3"/>
      <c r="BE520" s="3"/>
      <c r="BF520" s="3"/>
      <c r="BG520" s="3"/>
      <c r="BH520" s="3"/>
      <c r="BI520" s="3"/>
      <c r="BJ520" s="3"/>
      <c r="BK520" s="3"/>
      <c r="BL520" s="3"/>
      <c r="BM520" s="3"/>
      <c r="BN520" s="3" t="s">
        <v>2533</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 customHeight="1">
      <c r="B521" s="1412"/>
      <c r="C521" s="1413"/>
      <c r="D521" s="1413"/>
      <c r="E521" s="1413"/>
      <c r="F521" s="1413"/>
      <c r="G521" s="1413"/>
      <c r="H521" s="1414"/>
      <c r="I521" s="42" t="s">
        <v>425</v>
      </c>
      <c r="J521" s="42"/>
      <c r="K521" s="42"/>
      <c r="L521" s="42"/>
      <c r="M521" s="42"/>
      <c r="N521" s="42"/>
      <c r="O521" s="1407" t="s">
        <v>336</v>
      </c>
      <c r="P521" s="1408"/>
      <c r="Q521" s="1408"/>
      <c r="R521" s="1408"/>
      <c r="S521" s="1408"/>
      <c r="T521" s="1408"/>
      <c r="U521" s="1408"/>
      <c r="V521" s="1408"/>
      <c r="W521" s="1408"/>
      <c r="X521" s="1408"/>
      <c r="Y521" s="1408"/>
      <c r="Z521" s="1408"/>
      <c r="AA521" s="1408"/>
      <c r="AC521" s="1378" t="s">
        <v>601</v>
      </c>
      <c r="AD521" s="1379"/>
      <c r="AE521" s="1379"/>
      <c r="AF521" s="1379"/>
      <c r="AG521" s="13" t="s">
        <v>405</v>
      </c>
      <c r="AH521" s="1356"/>
      <c r="AI521" s="1356"/>
      <c r="AJ521" s="1356"/>
      <c r="AK521" s="1357"/>
      <c r="AZ521" s="3"/>
      <c r="BA521" s="3"/>
      <c r="BB521" s="3"/>
      <c r="BC521" s="3"/>
      <c r="BD521" s="3"/>
      <c r="BE521" s="3"/>
      <c r="BF521" s="3"/>
      <c r="BG521" s="3"/>
      <c r="BH521" s="3"/>
      <c r="BI521" s="3"/>
      <c r="BJ521" s="3"/>
      <c r="BK521" s="3"/>
      <c r="BL521" s="3"/>
      <c r="BM521" s="3"/>
      <c r="BN521" s="3" t="s">
        <v>2534</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 customHeight="1">
      <c r="B522" s="1412"/>
      <c r="C522" s="1413"/>
      <c r="D522" s="1413"/>
      <c r="E522" s="1413"/>
      <c r="F522" s="1413"/>
      <c r="G522" s="1413"/>
      <c r="H522" s="1414"/>
      <c r="I522" t="s">
        <v>423</v>
      </c>
      <c r="AC522" s="1378" t="s">
        <v>601</v>
      </c>
      <c r="AD522" s="1379"/>
      <c r="AE522" s="1379"/>
      <c r="AF522" s="1379"/>
      <c r="AG522" s="13" t="s">
        <v>405</v>
      </c>
      <c r="AH522" s="1356"/>
      <c r="AI522" s="1356"/>
      <c r="AJ522" s="1356"/>
      <c r="AK522" s="1357"/>
      <c r="AZ522" s="3"/>
      <c r="BA522" s="3"/>
      <c r="BB522" s="3"/>
      <c r="BC522" s="3"/>
      <c r="BD522" s="3"/>
      <c r="BE522" s="3"/>
      <c r="BF522" s="3"/>
      <c r="BG522" s="3"/>
      <c r="BH522" s="3"/>
      <c r="BI522" s="3"/>
      <c r="BJ522" s="3"/>
      <c r="BK522" s="3"/>
      <c r="BL522" s="3"/>
      <c r="BM522" s="3"/>
      <c r="BN522" s="3" t="s">
        <v>2535</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 customHeight="1">
      <c r="B523" s="1412"/>
      <c r="C523" s="1413"/>
      <c r="D523" s="1413"/>
      <c r="E523" s="1413"/>
      <c r="F523" s="1413"/>
      <c r="G523" s="1413"/>
      <c r="H523" s="1414"/>
      <c r="I523" s="48" t="s">
        <v>424</v>
      </c>
      <c r="J523" s="48"/>
      <c r="K523" s="48"/>
      <c r="L523" s="48"/>
      <c r="M523" s="48"/>
      <c r="N523" s="48"/>
      <c r="O523" s="48"/>
      <c r="P523" s="48"/>
      <c r="Q523" s="48"/>
      <c r="R523" s="48"/>
      <c r="S523" s="48"/>
      <c r="T523" s="48"/>
      <c r="U523" s="48"/>
      <c r="V523" s="48"/>
      <c r="W523" s="48"/>
      <c r="X523" s="48"/>
      <c r="Y523" s="48"/>
      <c r="Z523" s="48"/>
      <c r="AA523" s="48"/>
      <c r="AB523" s="48"/>
      <c r="AC523" s="1378" t="s">
        <v>601</v>
      </c>
      <c r="AD523" s="1379"/>
      <c r="AE523" s="1379"/>
      <c r="AF523" s="1379"/>
      <c r="AG523" s="38" t="s">
        <v>405</v>
      </c>
      <c r="AH523" s="1356"/>
      <c r="AI523" s="1356"/>
      <c r="AJ523" s="1356"/>
      <c r="AK523" s="1357"/>
      <c r="AZ523" s="3"/>
      <c r="BA523" s="3"/>
      <c r="BB523" s="3"/>
      <c r="BC523" s="3"/>
      <c r="BD523" s="3"/>
      <c r="BE523" s="3"/>
      <c r="BF523" s="3"/>
      <c r="BG523" s="3"/>
      <c r="BH523" s="3"/>
      <c r="BI523" s="3"/>
      <c r="BJ523" s="3"/>
      <c r="BK523" s="3"/>
      <c r="BL523" s="3"/>
      <c r="BM523" s="3"/>
      <c r="BN523" s="3" t="s">
        <v>2536</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 customHeight="1">
      <c r="B524" s="1412"/>
      <c r="C524" s="1413"/>
      <c r="D524" s="1413"/>
      <c r="E524" s="1413"/>
      <c r="F524" s="1413"/>
      <c r="G524" s="1413"/>
      <c r="H524" s="1414"/>
      <c r="I524" s="42" t="s">
        <v>425</v>
      </c>
      <c r="J524" s="42"/>
      <c r="K524" s="42"/>
      <c r="L524" s="42"/>
      <c r="M524" s="42"/>
      <c r="N524" s="42"/>
      <c r="O524" s="1407" t="s">
        <v>336</v>
      </c>
      <c r="P524" s="1408"/>
      <c r="Q524" s="1408"/>
      <c r="R524" s="1408"/>
      <c r="S524" s="1408"/>
      <c r="T524" s="1408"/>
      <c r="U524" s="1408"/>
      <c r="V524" s="1408"/>
      <c r="W524" s="1408"/>
      <c r="X524" s="1408"/>
      <c r="Y524" s="1408"/>
      <c r="Z524" s="1408"/>
      <c r="AA524" s="1408"/>
      <c r="AC524" s="1378" t="s">
        <v>601</v>
      </c>
      <c r="AD524" s="1379"/>
      <c r="AE524" s="1379"/>
      <c r="AF524" s="1379"/>
      <c r="AG524" s="13" t="s">
        <v>405</v>
      </c>
      <c r="AH524" s="1356"/>
      <c r="AI524" s="1356"/>
      <c r="AJ524" s="1356"/>
      <c r="AK524" s="1357"/>
      <c r="AZ524" s="3"/>
      <c r="BA524" s="3"/>
      <c r="BB524" s="3"/>
      <c r="BC524" s="3"/>
      <c r="BD524" s="3"/>
      <c r="BE524" s="3"/>
      <c r="BF524" s="3"/>
      <c r="BG524" s="3"/>
      <c r="BH524" s="3"/>
      <c r="BI524" s="3"/>
      <c r="BJ524" s="3"/>
      <c r="BK524" s="3"/>
      <c r="BL524" s="3"/>
      <c r="BM524" s="3"/>
      <c r="BN524" s="3" t="s">
        <v>2537</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 customHeight="1">
      <c r="B525" s="1412"/>
      <c r="C525" s="1413"/>
      <c r="D525" s="1413"/>
      <c r="E525" s="1413"/>
      <c r="F525" s="1413"/>
      <c r="G525" s="1413"/>
      <c r="H525" s="1414"/>
      <c r="I525" t="s">
        <v>423</v>
      </c>
      <c r="AC525" s="1378" t="s">
        <v>601</v>
      </c>
      <c r="AD525" s="1379"/>
      <c r="AE525" s="1379"/>
      <c r="AF525" s="1379"/>
      <c r="AG525" s="13" t="s">
        <v>405</v>
      </c>
      <c r="AH525" s="1356"/>
      <c r="AI525" s="1356"/>
      <c r="AJ525" s="1356"/>
      <c r="AK525" s="1357"/>
      <c r="AZ525" s="3"/>
      <c r="BA525" s="3"/>
      <c r="BB525" s="3"/>
      <c r="BC525" s="3"/>
      <c r="BD525" s="3"/>
      <c r="BE525" s="3"/>
      <c r="BF525" s="3"/>
      <c r="BG525" s="3"/>
      <c r="BH525" s="3"/>
      <c r="BI525" s="3"/>
      <c r="BJ525" s="3"/>
      <c r="BK525" s="3"/>
      <c r="BL525" s="3"/>
      <c r="BM525" s="3"/>
      <c r="BN525" s="3" t="s">
        <v>2538</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 customHeight="1">
      <c r="B526" s="1412"/>
      <c r="C526" s="1413"/>
      <c r="D526" s="1413"/>
      <c r="E526" s="1413"/>
      <c r="F526" s="1413"/>
      <c r="G526" s="1413"/>
      <c r="H526" s="1414"/>
      <c r="I526" s="48" t="s">
        <v>424</v>
      </c>
      <c r="J526" s="48"/>
      <c r="K526" s="48"/>
      <c r="L526" s="48"/>
      <c r="M526" s="48"/>
      <c r="N526" s="48"/>
      <c r="O526" s="48"/>
      <c r="P526" s="48"/>
      <c r="Q526" s="48"/>
      <c r="R526" s="48"/>
      <c r="S526" s="48"/>
      <c r="T526" s="48"/>
      <c r="U526" s="48"/>
      <c r="V526" s="48"/>
      <c r="W526" s="48"/>
      <c r="X526" s="48"/>
      <c r="Y526" s="48"/>
      <c r="Z526" s="48"/>
      <c r="AA526" s="48"/>
      <c r="AB526" s="48"/>
      <c r="AC526" s="1378" t="s">
        <v>601</v>
      </c>
      <c r="AD526" s="1379"/>
      <c r="AE526" s="1379"/>
      <c r="AF526" s="1379"/>
      <c r="AG526" s="38" t="s">
        <v>405</v>
      </c>
      <c r="AH526" s="1356"/>
      <c r="AI526" s="1356"/>
      <c r="AJ526" s="1356"/>
      <c r="AK526" s="1357"/>
      <c r="AZ526" s="3"/>
      <c r="BA526" s="3"/>
      <c r="BB526" s="3"/>
      <c r="BC526" s="3"/>
      <c r="BD526" s="3"/>
      <c r="BE526" s="3"/>
      <c r="BF526" s="3"/>
      <c r="BG526" s="3"/>
      <c r="BH526" s="3"/>
      <c r="BI526" s="3"/>
      <c r="BJ526" s="3"/>
      <c r="BK526" s="3"/>
      <c r="BL526" s="3"/>
      <c r="BM526" s="3"/>
      <c r="BN526" s="3" t="s">
        <v>2539</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 customHeight="1">
      <c r="B527" s="1412"/>
      <c r="C527" s="1413"/>
      <c r="D527" s="1413"/>
      <c r="E527" s="1413"/>
      <c r="F527" s="1413"/>
      <c r="G527" s="1413"/>
      <c r="H527" s="1414"/>
      <c r="I527" s="42" t="s">
        <v>425</v>
      </c>
      <c r="J527" s="42"/>
      <c r="K527" s="42"/>
      <c r="L527" s="42"/>
      <c r="M527" s="42"/>
      <c r="N527" s="42"/>
      <c r="O527" s="1407" t="s">
        <v>336</v>
      </c>
      <c r="P527" s="1408"/>
      <c r="Q527" s="1408"/>
      <c r="R527" s="1408"/>
      <c r="S527" s="1408"/>
      <c r="T527" s="1408"/>
      <c r="U527" s="1408"/>
      <c r="V527" s="1408"/>
      <c r="W527" s="1408"/>
      <c r="X527" s="1408"/>
      <c r="Y527" s="1408"/>
      <c r="Z527" s="1408"/>
      <c r="AA527" s="1408"/>
      <c r="AC527" s="1378" t="s">
        <v>601</v>
      </c>
      <c r="AD527" s="1379"/>
      <c r="AE527" s="1379"/>
      <c r="AF527" s="1379"/>
      <c r="AG527" s="13" t="s">
        <v>405</v>
      </c>
      <c r="AH527" s="1356"/>
      <c r="AI527" s="1356"/>
      <c r="AJ527" s="1356"/>
      <c r="AK527" s="1357"/>
      <c r="AZ527" s="3"/>
      <c r="BA527" s="3"/>
      <c r="BB527" s="3"/>
      <c r="BC527" s="3"/>
      <c r="BD527" s="3"/>
      <c r="BE527" s="3"/>
      <c r="BF527" s="3"/>
      <c r="BG527" s="3"/>
      <c r="BH527" s="3"/>
      <c r="BI527" s="3"/>
      <c r="BJ527" s="3"/>
      <c r="BK527" s="3"/>
      <c r="BL527" s="3"/>
      <c r="BM527" s="3"/>
      <c r="BN527" s="3" t="s">
        <v>2540</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 customHeight="1">
      <c r="B528" s="1412"/>
      <c r="C528" s="1413"/>
      <c r="D528" s="1413"/>
      <c r="E528" s="1413"/>
      <c r="F528" s="1413"/>
      <c r="G528" s="1413"/>
      <c r="H528" s="1414"/>
      <c r="I528" t="s">
        <v>423</v>
      </c>
      <c r="AC528" s="1378" t="s">
        <v>601</v>
      </c>
      <c r="AD528" s="1379"/>
      <c r="AE528" s="1379"/>
      <c r="AF528" s="1379"/>
      <c r="AG528" s="13" t="s">
        <v>405</v>
      </c>
      <c r="AH528" s="1356"/>
      <c r="AI528" s="1356"/>
      <c r="AJ528" s="1356"/>
      <c r="AK528" s="1357"/>
      <c r="AZ528" s="3"/>
      <c r="BA528" s="3"/>
      <c r="BB528" s="3"/>
      <c r="BC528" s="3"/>
      <c r="BD528" s="3"/>
      <c r="BE528" s="3"/>
      <c r="BF528" s="3"/>
      <c r="BG528" s="3"/>
      <c r="BH528" s="3"/>
      <c r="BI528" s="3"/>
      <c r="BJ528" s="3"/>
      <c r="BK528" s="3"/>
      <c r="BL528" s="3"/>
      <c r="BM528" s="3"/>
      <c r="BN528" s="3" t="s">
        <v>2541</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 customHeight="1">
      <c r="B529" s="1412"/>
      <c r="C529" s="1413"/>
      <c r="D529" s="1413"/>
      <c r="E529" s="1413"/>
      <c r="F529" s="1413"/>
      <c r="G529" s="1413"/>
      <c r="H529" s="1414"/>
      <c r="I529" s="48" t="s">
        <v>424</v>
      </c>
      <c r="J529" s="48"/>
      <c r="K529" s="48"/>
      <c r="L529" s="48"/>
      <c r="M529" s="48"/>
      <c r="N529" s="48"/>
      <c r="O529" s="48"/>
      <c r="P529" s="48"/>
      <c r="Q529" s="48"/>
      <c r="R529" s="48"/>
      <c r="S529" s="48"/>
      <c r="T529" s="48"/>
      <c r="U529" s="48"/>
      <c r="V529" s="48"/>
      <c r="W529" s="48"/>
      <c r="X529" s="48"/>
      <c r="Y529" s="48"/>
      <c r="Z529" s="48"/>
      <c r="AA529" s="48"/>
      <c r="AB529" s="48"/>
      <c r="AC529" s="1378" t="s">
        <v>601</v>
      </c>
      <c r="AD529" s="1379"/>
      <c r="AE529" s="1379"/>
      <c r="AF529" s="1379"/>
      <c r="AG529" s="38" t="s">
        <v>405</v>
      </c>
      <c r="AH529" s="1356"/>
      <c r="AI529" s="1356"/>
      <c r="AJ529" s="1356"/>
      <c r="AK529" s="1357"/>
      <c r="AZ529" s="3"/>
      <c r="BA529" s="3"/>
      <c r="BB529" s="3"/>
      <c r="BC529" s="3"/>
      <c r="BD529" s="3"/>
      <c r="BE529" s="3"/>
      <c r="BF529" s="3"/>
      <c r="BG529" s="3"/>
      <c r="BH529" s="3"/>
      <c r="BI529" s="3"/>
      <c r="BJ529" s="3"/>
      <c r="BK529" s="3"/>
      <c r="BL529" s="3"/>
      <c r="BM529" s="3"/>
      <c r="BN529" s="3" t="s">
        <v>2542</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 customHeight="1">
      <c r="B530" s="1412"/>
      <c r="C530" s="1413"/>
      <c r="D530" s="1413"/>
      <c r="E530" s="1413"/>
      <c r="F530" s="1413"/>
      <c r="G530" s="1413"/>
      <c r="H530" s="1414"/>
      <c r="I530" s="42" t="s">
        <v>425</v>
      </c>
      <c r="J530" s="42"/>
      <c r="K530" s="42"/>
      <c r="L530" s="42"/>
      <c r="M530" s="42"/>
      <c r="N530" s="42"/>
      <c r="O530" s="1407" t="s">
        <v>336</v>
      </c>
      <c r="P530" s="1408"/>
      <c r="Q530" s="1408"/>
      <c r="R530" s="1408"/>
      <c r="S530" s="1408"/>
      <c r="T530" s="1408"/>
      <c r="U530" s="1408"/>
      <c r="V530" s="1408"/>
      <c r="W530" s="1408"/>
      <c r="X530" s="1408"/>
      <c r="Y530" s="1408"/>
      <c r="Z530" s="1408"/>
      <c r="AA530" s="1408"/>
      <c r="AC530" s="1378" t="s">
        <v>601</v>
      </c>
      <c r="AD530" s="1379"/>
      <c r="AE530" s="1379"/>
      <c r="AF530" s="1379"/>
      <c r="AG530" s="13" t="s">
        <v>405</v>
      </c>
      <c r="AH530" s="1356"/>
      <c r="AI530" s="1356"/>
      <c r="AJ530" s="1356"/>
      <c r="AK530" s="1357"/>
      <c r="AZ530" s="3"/>
      <c r="BA530" s="3"/>
      <c r="BB530" s="3"/>
      <c r="BC530" s="3"/>
      <c r="BD530" s="3"/>
      <c r="BE530" s="3"/>
      <c r="BF530" s="3"/>
      <c r="BG530" s="3"/>
      <c r="BH530" s="3"/>
      <c r="BI530" s="3"/>
      <c r="BJ530" s="3"/>
      <c r="BK530" s="3"/>
      <c r="BL530" s="3"/>
      <c r="BM530" s="3"/>
      <c r="BN530" s="3" t="s">
        <v>2543</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 customHeight="1">
      <c r="B531" s="1412"/>
      <c r="C531" s="1413"/>
      <c r="D531" s="1413"/>
      <c r="E531" s="1413"/>
      <c r="F531" s="1413"/>
      <c r="G531" s="1413"/>
      <c r="H531" s="1414"/>
      <c r="I531" t="s">
        <v>423</v>
      </c>
      <c r="AC531" s="1378" t="s">
        <v>601</v>
      </c>
      <c r="AD531" s="1379"/>
      <c r="AE531" s="1379"/>
      <c r="AF531" s="1379"/>
      <c r="AG531" s="38" t="s">
        <v>405</v>
      </c>
      <c r="AH531" s="1356"/>
      <c r="AI531" s="1356"/>
      <c r="AJ531" s="1356"/>
      <c r="AK531" s="1357"/>
      <c r="AZ531" s="3"/>
      <c r="BA531" s="3"/>
      <c r="BB531" s="3"/>
      <c r="BC531" s="3"/>
      <c r="BD531" s="3"/>
      <c r="BE531" s="3"/>
      <c r="BF531" s="3"/>
      <c r="BG531" s="3"/>
      <c r="BH531" s="3"/>
      <c r="BI531" s="3"/>
      <c r="BJ531" s="3"/>
      <c r="BK531" s="3"/>
      <c r="BL531" s="3"/>
      <c r="BM531" s="3"/>
      <c r="BN531" s="3" t="s">
        <v>2544</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 customHeight="1">
      <c r="B532" s="1412"/>
      <c r="C532" s="1413"/>
      <c r="D532" s="1413"/>
      <c r="E532" s="1413"/>
      <c r="F532" s="1413"/>
      <c r="G532" s="1413"/>
      <c r="H532" s="1414"/>
      <c r="I532" s="48" t="s">
        <v>424</v>
      </c>
      <c r="J532" s="48"/>
      <c r="K532" s="48"/>
      <c r="L532" s="48"/>
      <c r="M532" s="48"/>
      <c r="N532" s="48"/>
      <c r="O532" s="48"/>
      <c r="P532" s="48"/>
      <c r="Q532" s="48"/>
      <c r="R532" s="48"/>
      <c r="S532" s="48"/>
      <c r="T532" s="48"/>
      <c r="U532" s="48"/>
      <c r="V532" s="48"/>
      <c r="W532" s="48"/>
      <c r="X532" s="48"/>
      <c r="Y532" s="48"/>
      <c r="Z532" s="48"/>
      <c r="AA532" s="48"/>
      <c r="AB532" s="48"/>
      <c r="AC532" s="1378" t="s">
        <v>601</v>
      </c>
      <c r="AD532" s="1379"/>
      <c r="AE532" s="1379"/>
      <c r="AF532" s="1379"/>
      <c r="AG532" s="13" t="s">
        <v>405</v>
      </c>
      <c r="AH532" s="1356"/>
      <c r="AI532" s="1356"/>
      <c r="AJ532" s="1356"/>
      <c r="AK532" s="1357"/>
      <c r="AZ532" s="3"/>
      <c r="BA532" s="3"/>
      <c r="BB532" s="3"/>
      <c r="BC532" s="3"/>
      <c r="BD532" s="3"/>
      <c r="BE532" s="3"/>
      <c r="BF532" s="3"/>
      <c r="BG532" s="3"/>
      <c r="BH532" s="3"/>
      <c r="BI532" s="3"/>
      <c r="BJ532" s="3"/>
      <c r="BK532" s="3"/>
      <c r="BL532" s="3"/>
      <c r="BM532" s="3"/>
      <c r="BN532" s="3" t="s">
        <v>2545</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 customHeight="1">
      <c r="B533" s="1412"/>
      <c r="C533" s="1413"/>
      <c r="D533" s="1413"/>
      <c r="E533" s="1413"/>
      <c r="F533" s="1413"/>
      <c r="G533" s="1413"/>
      <c r="H533" s="1414"/>
      <c r="I533" s="42" t="s">
        <v>425</v>
      </c>
      <c r="J533" s="42"/>
      <c r="K533" s="42"/>
      <c r="L533" s="42"/>
      <c r="M533" s="42"/>
      <c r="N533" s="42"/>
      <c r="O533" s="1407" t="s">
        <v>336</v>
      </c>
      <c r="P533" s="1408"/>
      <c r="Q533" s="1408"/>
      <c r="R533" s="1408"/>
      <c r="S533" s="1408"/>
      <c r="T533" s="1408"/>
      <c r="U533" s="1408"/>
      <c r="V533" s="1408"/>
      <c r="W533" s="1408"/>
      <c r="X533" s="1408"/>
      <c r="Y533" s="1408"/>
      <c r="Z533" s="1408"/>
      <c r="AA533" s="1408"/>
      <c r="AC533" s="1378" t="s">
        <v>601</v>
      </c>
      <c r="AD533" s="1379"/>
      <c r="AE533" s="1379"/>
      <c r="AF533" s="1379"/>
      <c r="AG533" s="38" t="s">
        <v>405</v>
      </c>
      <c r="AH533" s="1356"/>
      <c r="AI533" s="1356"/>
      <c r="AJ533" s="1356"/>
      <c r="AK533" s="1357"/>
      <c r="AZ533" s="3"/>
      <c r="BA533" s="3"/>
      <c r="BB533" s="3"/>
      <c r="BC533" s="3"/>
      <c r="BD533" s="3"/>
      <c r="BE533" s="3"/>
      <c r="BF533" s="3"/>
      <c r="BG533" s="3"/>
      <c r="BH533" s="3"/>
      <c r="BI533" s="3"/>
      <c r="BJ533" s="3"/>
      <c r="BK533" s="3"/>
      <c r="BL533" s="3"/>
      <c r="BM533" s="3"/>
      <c r="BN533" s="3" t="s">
        <v>2546</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 customHeight="1">
      <c r="B534" s="1412"/>
      <c r="C534" s="1413"/>
      <c r="D534" s="1413"/>
      <c r="E534" s="1413"/>
      <c r="F534" s="1413"/>
      <c r="G534" s="1413"/>
      <c r="H534" s="1414"/>
      <c r="I534" t="s">
        <v>423</v>
      </c>
      <c r="AC534" s="1378" t="s">
        <v>601</v>
      </c>
      <c r="AD534" s="1379"/>
      <c r="AE534" s="1379"/>
      <c r="AF534" s="1379"/>
      <c r="AG534" s="13" t="s">
        <v>405</v>
      </c>
      <c r="AH534" s="1356"/>
      <c r="AI534" s="1356"/>
      <c r="AJ534" s="1356"/>
      <c r="AK534" s="1357"/>
      <c r="AZ534" s="3"/>
      <c r="BA534" s="3"/>
      <c r="BB534" s="3"/>
      <c r="BC534" s="3"/>
      <c r="BD534" s="3"/>
      <c r="BE534" s="3"/>
      <c r="BF534" s="3"/>
      <c r="BG534" s="3"/>
      <c r="BH534" s="3"/>
      <c r="BI534" s="3"/>
      <c r="BJ534" s="3"/>
      <c r="BK534" s="3"/>
      <c r="BL534" s="3"/>
      <c r="BM534" s="3"/>
      <c r="BN534" s="3" t="s">
        <v>2547</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 customHeight="1">
      <c r="B535" s="1412"/>
      <c r="C535" s="1413"/>
      <c r="D535" s="1413"/>
      <c r="E535" s="1413"/>
      <c r="F535" s="1413"/>
      <c r="G535" s="1413"/>
      <c r="H535" s="1414"/>
      <c r="I535" s="48" t="s">
        <v>424</v>
      </c>
      <c r="J535" s="48"/>
      <c r="K535" s="48"/>
      <c r="L535" s="48"/>
      <c r="M535" s="48"/>
      <c r="N535" s="48"/>
      <c r="O535" s="48"/>
      <c r="P535" s="48"/>
      <c r="Q535" s="48"/>
      <c r="R535" s="48"/>
      <c r="S535" s="48"/>
      <c r="T535" s="48"/>
      <c r="U535" s="48"/>
      <c r="V535" s="48"/>
      <c r="W535" s="48"/>
      <c r="X535" s="48"/>
      <c r="Y535" s="48"/>
      <c r="Z535" s="48"/>
      <c r="AA535" s="48"/>
      <c r="AB535" s="48"/>
      <c r="AC535" s="1378" t="s">
        <v>601</v>
      </c>
      <c r="AD535" s="1379"/>
      <c r="AE535" s="1379"/>
      <c r="AF535" s="1379"/>
      <c r="AG535" s="38" t="s">
        <v>405</v>
      </c>
      <c r="AH535" s="1356"/>
      <c r="AI535" s="1356"/>
      <c r="AJ535" s="1356"/>
      <c r="AK535" s="1357"/>
      <c r="AZ535" s="3"/>
      <c r="BA535" s="3"/>
      <c r="BB535" s="3"/>
      <c r="BC535" s="3"/>
      <c r="BD535" s="3"/>
      <c r="BE535" s="3"/>
      <c r="BF535" s="3"/>
      <c r="BG535" s="3"/>
      <c r="BH535" s="3"/>
      <c r="BI535" s="3"/>
      <c r="BJ535" s="3"/>
      <c r="BK535" s="3"/>
      <c r="BL535" s="3"/>
      <c r="BM535" s="3"/>
      <c r="BN535" s="3" t="s">
        <v>2548</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 customHeight="1">
      <c r="B536" s="1412"/>
      <c r="C536" s="1413"/>
      <c r="D536" s="1413"/>
      <c r="E536" s="1413"/>
      <c r="F536" s="1413"/>
      <c r="G536" s="1413"/>
      <c r="H536" s="1414"/>
      <c r="I536" s="42" t="s">
        <v>572</v>
      </c>
      <c r="J536" s="42"/>
      <c r="K536" s="42"/>
      <c r="L536" s="42"/>
      <c r="M536" s="42"/>
      <c r="N536" s="42"/>
      <c r="O536" s="42"/>
      <c r="P536" s="42"/>
      <c r="Q536" s="42"/>
      <c r="R536" s="42"/>
      <c r="S536" s="42"/>
      <c r="T536" s="42"/>
      <c r="U536" s="42"/>
      <c r="V536" s="42"/>
      <c r="W536" s="42"/>
      <c r="AC536" s="1378">
        <v>10</v>
      </c>
      <c r="AD536" s="1379"/>
      <c r="AE536" s="1379"/>
      <c r="AF536" s="1379"/>
      <c r="AG536" s="38" t="s">
        <v>405</v>
      </c>
      <c r="AH536" s="1356">
        <v>2025</v>
      </c>
      <c r="AI536" s="1356"/>
      <c r="AJ536" s="1356"/>
      <c r="AK536" s="1357"/>
      <c r="AZ536" s="3"/>
      <c r="BA536" s="3"/>
      <c r="BB536" s="3"/>
      <c r="BC536" s="3"/>
      <c r="BD536" s="3"/>
      <c r="BE536" s="3"/>
      <c r="BF536" s="3"/>
      <c r="BG536" s="3"/>
      <c r="BH536" s="3"/>
      <c r="BI536" s="3"/>
      <c r="BJ536" s="3"/>
      <c r="BK536" s="3"/>
      <c r="BL536" s="3"/>
      <c r="BM536" s="3"/>
      <c r="BN536" s="3" t="s">
        <v>2549</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 customHeight="1">
      <c r="B537" s="1412"/>
      <c r="C537" s="1413"/>
      <c r="D537" s="1413"/>
      <c r="E537" s="1413"/>
      <c r="F537" s="1413"/>
      <c r="G537" s="1413"/>
      <c r="H537" s="1414"/>
      <c r="I537" t="s">
        <v>573</v>
      </c>
      <c r="AC537" s="1378">
        <v>6</v>
      </c>
      <c r="AD537" s="1379"/>
      <c r="AE537" s="1379"/>
      <c r="AF537" s="1379"/>
      <c r="AG537" s="13" t="s">
        <v>405</v>
      </c>
      <c r="AH537" s="1356">
        <v>2024</v>
      </c>
      <c r="AI537" s="1356"/>
      <c r="AJ537" s="1356"/>
      <c r="AK537" s="1357"/>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 customHeight="1">
      <c r="B538" s="1412"/>
      <c r="C538" s="1413"/>
      <c r="D538" s="1413"/>
      <c r="E538" s="1413"/>
      <c r="F538" s="1413"/>
      <c r="G538" s="1413"/>
      <c r="H538" s="1414"/>
      <c r="I538" t="s">
        <v>574</v>
      </c>
      <c r="AC538" s="1378">
        <v>6</v>
      </c>
      <c r="AD538" s="1379"/>
      <c r="AE538" s="1379"/>
      <c r="AF538" s="1379"/>
      <c r="AG538" s="38" t="s">
        <v>405</v>
      </c>
      <c r="AH538" s="1356">
        <v>2026</v>
      </c>
      <c r="AI538" s="1356"/>
      <c r="AJ538" s="1356"/>
      <c r="AK538" s="1357"/>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 customHeight="1">
      <c r="B539" s="1412"/>
      <c r="C539" s="1413"/>
      <c r="D539" s="1413"/>
      <c r="E539" s="1413"/>
      <c r="F539" s="1413"/>
      <c r="G539" s="1413"/>
      <c r="H539" s="1414"/>
      <c r="I539" t="s">
        <v>575</v>
      </c>
      <c r="AC539" s="1378">
        <v>6</v>
      </c>
      <c r="AD539" s="1379"/>
      <c r="AE539" s="1379"/>
      <c r="AF539" s="1379"/>
      <c r="AG539" s="38" t="s">
        <v>405</v>
      </c>
      <c r="AH539" s="1356">
        <v>2026</v>
      </c>
      <c r="AI539" s="1356"/>
      <c r="AJ539" s="1356"/>
      <c r="AK539" s="1357"/>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 customHeight="1">
      <c r="B540" s="1415"/>
      <c r="C540" s="1416"/>
      <c r="D540" s="1416"/>
      <c r="E540" s="1416"/>
      <c r="F540" s="1416"/>
      <c r="G540" s="1416"/>
      <c r="H540" s="1417"/>
      <c r="I540" s="48" t="s">
        <v>461</v>
      </c>
      <c r="J540" s="48"/>
      <c r="K540" s="48"/>
      <c r="L540" s="48"/>
      <c r="M540" s="48"/>
      <c r="N540" s="48"/>
      <c r="O540" s="48"/>
      <c r="P540" s="48"/>
      <c r="Q540" s="48"/>
      <c r="R540" s="48"/>
      <c r="S540" s="48"/>
      <c r="T540" s="48"/>
      <c r="U540" s="48"/>
      <c r="V540" s="48"/>
      <c r="W540" s="48"/>
      <c r="X540" s="48"/>
      <c r="Y540" s="48"/>
      <c r="Z540" s="48"/>
      <c r="AA540" s="48"/>
      <c r="AB540" s="48"/>
      <c r="AC540" s="1378">
        <v>9</v>
      </c>
      <c r="AD540" s="1379"/>
      <c r="AE540" s="1379"/>
      <c r="AF540" s="1379"/>
      <c r="AG540" s="38" t="s">
        <v>405</v>
      </c>
      <c r="AH540" s="1356">
        <v>2026</v>
      </c>
      <c r="AI540" s="1356"/>
      <c r="AJ540" s="1356"/>
      <c r="AK540" s="1357"/>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 customHeight="1">
      <c r="A542" s="1271" t="s">
        <v>553</v>
      </c>
      <c r="B542" s="1271"/>
      <c r="C542" s="1271"/>
      <c r="D542" s="1271"/>
      <c r="E542" s="1271"/>
      <c r="F542" s="1271"/>
      <c r="G542" s="1271"/>
      <c r="H542" s="1271"/>
      <c r="I542" s="1271"/>
      <c r="J542" s="1271"/>
      <c r="K542" s="1271"/>
      <c r="L542" s="1271"/>
      <c r="M542" s="1271"/>
      <c r="N542" s="1271"/>
      <c r="O542" s="1271"/>
      <c r="P542" s="1271"/>
      <c r="Q542" s="1271"/>
      <c r="R542" s="1271"/>
      <c r="S542" s="1271"/>
      <c r="T542" s="1271"/>
      <c r="U542" s="1271"/>
      <c r="V542" s="1271"/>
      <c r="W542" s="1271"/>
      <c r="X542" s="1271"/>
      <c r="Y542" s="1271"/>
      <c r="Z542" s="1271"/>
      <c r="AA542" s="1271"/>
      <c r="AB542" s="1271"/>
      <c r="AC542" s="1271"/>
      <c r="AD542" s="1271"/>
      <c r="AE542" s="1271"/>
      <c r="AF542" s="1271"/>
      <c r="AG542" s="1271"/>
      <c r="AH542" s="1271"/>
      <c r="AI542" s="1271"/>
      <c r="AJ542" s="1271"/>
      <c r="AK542" s="1271"/>
      <c r="AL542" s="1271"/>
      <c r="AM542" s="1271"/>
      <c r="AN542" s="1271"/>
      <c r="AO542" s="1271"/>
      <c r="AP542" s="1271"/>
      <c r="AQ542" s="1271"/>
      <c r="AR542" s="1271"/>
      <c r="AS542" s="1271"/>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 customHeight="1">
      <c r="A543" s="1271"/>
      <c r="B543" s="1271"/>
      <c r="C543" s="1271"/>
      <c r="D543" s="1271"/>
      <c r="E543" s="1271"/>
      <c r="F543" s="1271"/>
      <c r="G543" s="1271"/>
      <c r="H543" s="1271"/>
      <c r="I543" s="1271"/>
      <c r="J543" s="1271"/>
      <c r="K543" s="1271"/>
      <c r="L543" s="1271"/>
      <c r="M543" s="1271"/>
      <c r="N543" s="1271"/>
      <c r="O543" s="1271"/>
      <c r="P543" s="1271"/>
      <c r="Q543" s="1271"/>
      <c r="R543" s="1271"/>
      <c r="S543" s="1271"/>
      <c r="T543" s="1271"/>
      <c r="U543" s="1271"/>
      <c r="V543" s="1271"/>
      <c r="W543" s="1271"/>
      <c r="X543" s="1271"/>
      <c r="Y543" s="1271"/>
      <c r="Z543" s="1271"/>
      <c r="AA543" s="1271"/>
      <c r="AB543" s="1271"/>
      <c r="AC543" s="1271"/>
      <c r="AD543" s="1271"/>
      <c r="AE543" s="1271"/>
      <c r="AF543" s="1271"/>
      <c r="AG543" s="1271"/>
      <c r="AH543" s="1271"/>
      <c r="AI543" s="1271"/>
      <c r="AJ543" s="1271"/>
      <c r="AK543" s="1271"/>
      <c r="AL543" s="1271"/>
      <c r="AM543" s="1271"/>
      <c r="AN543" s="1271"/>
      <c r="AO543" s="1271"/>
      <c r="AP543" s="1271"/>
      <c r="AQ543" s="1271"/>
      <c r="AR543" s="1271"/>
      <c r="AS543" s="1271"/>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 customHeight="1">
      <c r="A547" s="2"/>
      <c r="B547" s="2"/>
      <c r="C547" s="2"/>
      <c r="D547" s="2" t="s">
        <v>2521</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5" t="s">
        <v>2523</v>
      </c>
      <c r="C549" s="1376"/>
      <c r="D549" s="1376"/>
      <c r="E549" s="1376"/>
      <c r="F549" s="1376"/>
      <c r="G549" s="1376"/>
      <c r="H549" s="1376"/>
      <c r="I549" s="1376"/>
      <c r="J549" s="1376"/>
      <c r="K549" s="1376"/>
      <c r="L549" s="1377"/>
      <c r="M549" s="1513" t="s">
        <v>2524</v>
      </c>
      <c r="N549" s="1513"/>
      <c r="O549" s="1513"/>
      <c r="P549" s="1513"/>
      <c r="Q549" s="1375" t="s">
        <v>2550</v>
      </c>
      <c r="R549" s="1376"/>
      <c r="S549" s="1377"/>
      <c r="T549" s="1375" t="s">
        <v>2551</v>
      </c>
      <c r="U549" s="1376"/>
      <c r="V549" s="1377"/>
      <c r="W549" s="1375" t="s">
        <v>463</v>
      </c>
      <c r="X549" s="1376"/>
      <c r="Y549" s="1377"/>
      <c r="Z549" s="1375" t="s">
        <v>2113</v>
      </c>
      <c r="AA549" s="1376"/>
      <c r="AB549" s="1376"/>
      <c r="AC549" s="1376"/>
      <c r="AD549" s="1376"/>
      <c r="AE549" s="1375" t="s">
        <v>1934</v>
      </c>
      <c r="AF549" s="1376"/>
      <c r="AG549" s="1376"/>
      <c r="AH549" s="1377"/>
      <c r="AI549" s="1375" t="s">
        <v>1935</v>
      </c>
      <c r="AJ549" s="1376"/>
      <c r="AK549" s="1376"/>
      <c r="AL549" s="1377"/>
      <c r="AM549" s="1375" t="s">
        <v>464</v>
      </c>
      <c r="AN549" s="1376"/>
      <c r="AO549" s="1376"/>
      <c r="AP549" s="1376"/>
      <c r="AQ549" s="1376"/>
      <c r="AR549" s="1376"/>
      <c r="AS549" s="1377"/>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0" t="s">
        <v>2696</v>
      </c>
      <c r="D550" s="1470"/>
      <c r="E550" s="1470"/>
      <c r="F550" s="1470"/>
      <c r="G550" s="1470"/>
      <c r="H550" s="1470"/>
      <c r="I550" s="1470"/>
      <c r="J550" s="1470"/>
      <c r="K550" s="1470"/>
      <c r="L550" s="1470"/>
      <c r="M550" s="1470" t="s">
        <v>2540</v>
      </c>
      <c r="N550" s="1470"/>
      <c r="O550" s="1470"/>
      <c r="P550" s="1470"/>
      <c r="Q550" s="1393">
        <v>30</v>
      </c>
      <c r="R550" s="1393"/>
      <c r="S550" s="1394"/>
      <c r="T550" s="1392"/>
      <c r="U550" s="1393"/>
      <c r="V550" s="1394"/>
      <c r="W550" s="1389">
        <v>5.3999999999999999E-2</v>
      </c>
      <c r="X550" s="1390"/>
      <c r="Y550" s="1391"/>
      <c r="Z550" s="1432" t="s">
        <v>2736</v>
      </c>
      <c r="AA550" s="1432"/>
      <c r="AB550" s="1432"/>
      <c r="AC550" s="1432"/>
      <c r="AD550" s="1432"/>
      <c r="AE550" s="1426">
        <v>1</v>
      </c>
      <c r="AF550" s="1427"/>
      <c r="AG550" s="1427"/>
      <c r="AH550" s="1428"/>
      <c r="AI550" s="1446"/>
      <c r="AJ550" s="1447"/>
      <c r="AK550" s="1447"/>
      <c r="AL550" s="1448"/>
      <c r="AM550" s="1369">
        <v>45599495</v>
      </c>
      <c r="AN550" s="1370"/>
      <c r="AO550" s="1370"/>
      <c r="AP550" s="1370"/>
      <c r="AQ550" s="1370"/>
      <c r="AR550" s="1370"/>
      <c r="AS550" s="1371"/>
      <c r="AT550" s="1201"/>
      <c r="BB550" s="3"/>
      <c r="BC550" s="3"/>
      <c r="BD550" s="3"/>
      <c r="BE550" s="3"/>
      <c r="BF550" s="3"/>
      <c r="BG550" s="3"/>
      <c r="BH550" s="3" t="s">
        <v>591</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 customHeight="1">
      <c r="B551" s="52" t="s">
        <v>114</v>
      </c>
      <c r="C551" s="1471" t="s">
        <v>2696</v>
      </c>
      <c r="D551" s="1471"/>
      <c r="E551" s="1471"/>
      <c r="F551" s="1471"/>
      <c r="G551" s="1471"/>
      <c r="H551" s="1471"/>
      <c r="I551" s="1471"/>
      <c r="J551" s="1471"/>
      <c r="K551" s="1471"/>
      <c r="L551" s="1471"/>
      <c r="M551" s="1470" t="s">
        <v>2541</v>
      </c>
      <c r="N551" s="1470"/>
      <c r="O551" s="1470"/>
      <c r="P551" s="1470"/>
      <c r="Q551" s="1392">
        <v>30</v>
      </c>
      <c r="R551" s="1393"/>
      <c r="S551" s="1394"/>
      <c r="T551" s="1392"/>
      <c r="U551" s="1393"/>
      <c r="V551" s="1394"/>
      <c r="W551" s="1389">
        <v>5.3999999999999999E-2</v>
      </c>
      <c r="X551" s="1390"/>
      <c r="Y551" s="1391"/>
      <c r="Z551" s="1432" t="s">
        <v>2736</v>
      </c>
      <c r="AA551" s="1432"/>
      <c r="AB551" s="1432"/>
      <c r="AC551" s="1432"/>
      <c r="AD551" s="1432"/>
      <c r="AE551" s="1426">
        <v>1</v>
      </c>
      <c r="AF551" s="1427"/>
      <c r="AG551" s="1427"/>
      <c r="AH551" s="1428"/>
      <c r="AI551" s="1446"/>
      <c r="AJ551" s="1447"/>
      <c r="AK551" s="1447"/>
      <c r="AL551" s="1448"/>
      <c r="AM551" s="1369">
        <v>4469462</v>
      </c>
      <c r="AN551" s="1370"/>
      <c r="AO551" s="1370"/>
      <c r="AP551" s="1370"/>
      <c r="AQ551" s="1370"/>
      <c r="AR551" s="1370"/>
      <c r="AS551" s="1371"/>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 customHeight="1">
      <c r="B552" s="52" t="s">
        <v>120</v>
      </c>
      <c r="C552" s="1471" t="s">
        <v>2696</v>
      </c>
      <c r="D552" s="1471"/>
      <c r="E552" s="1471"/>
      <c r="F552" s="1471"/>
      <c r="G552" s="1471"/>
      <c r="H552" s="1471"/>
      <c r="I552" s="1471"/>
      <c r="J552" s="1471"/>
      <c r="K552" s="1471"/>
      <c r="L552" s="1471"/>
      <c r="M552" s="1470" t="s">
        <v>2539</v>
      </c>
      <c r="N552" s="1470"/>
      <c r="O552" s="1470"/>
      <c r="P552" s="1470"/>
      <c r="Q552" s="1392">
        <v>30</v>
      </c>
      <c r="R552" s="1393"/>
      <c r="S552" s="1394"/>
      <c r="T552" s="1392"/>
      <c r="U552" s="1393"/>
      <c r="V552" s="1394"/>
      <c r="W552" s="1389">
        <v>5.3999999999999999E-2</v>
      </c>
      <c r="X552" s="1390"/>
      <c r="Y552" s="1391"/>
      <c r="Z552" s="1432" t="s">
        <v>2736</v>
      </c>
      <c r="AA552" s="1432"/>
      <c r="AB552" s="1432"/>
      <c r="AC552" s="1432"/>
      <c r="AD552" s="1432"/>
      <c r="AE552" s="1426">
        <v>1</v>
      </c>
      <c r="AF552" s="1427"/>
      <c r="AG552" s="1427"/>
      <c r="AH552" s="1428"/>
      <c r="AI552" s="1446"/>
      <c r="AJ552" s="1447"/>
      <c r="AK552" s="1447"/>
      <c r="AL552" s="1448"/>
      <c r="AM552" s="1369">
        <v>18637501</v>
      </c>
      <c r="AN552" s="1370"/>
      <c r="AO552" s="1370"/>
      <c r="AP552" s="1370"/>
      <c r="AQ552" s="1370"/>
      <c r="AR552" s="1370"/>
      <c r="AS552" s="1371"/>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 customHeight="1">
      <c r="B553" s="52" t="s">
        <v>591</v>
      </c>
      <c r="C553" s="1471" t="s">
        <v>2737</v>
      </c>
      <c r="D553" s="1471"/>
      <c r="E553" s="1471"/>
      <c r="F553" s="1471"/>
      <c r="G553" s="1471"/>
      <c r="H553" s="1471"/>
      <c r="I553" s="1471"/>
      <c r="J553" s="1471"/>
      <c r="K553" s="1471"/>
      <c r="L553" s="1471"/>
      <c r="M553" s="1470" t="s">
        <v>2526</v>
      </c>
      <c r="N553" s="1470"/>
      <c r="O553" s="1470"/>
      <c r="P553" s="1470"/>
      <c r="Q553" s="1392"/>
      <c r="R553" s="1393"/>
      <c r="S553" s="1394"/>
      <c r="T553" s="1392"/>
      <c r="U553" s="1393"/>
      <c r="V553" s="1394"/>
      <c r="W553" s="1389"/>
      <c r="X553" s="1390"/>
      <c r="Y553" s="1391"/>
      <c r="Z553" s="1432" t="s">
        <v>1326</v>
      </c>
      <c r="AA553" s="1432"/>
      <c r="AB553" s="1432"/>
      <c r="AC553" s="1432"/>
      <c r="AD553" s="1432"/>
      <c r="AE553" s="1426"/>
      <c r="AF553" s="1427"/>
      <c r="AG553" s="1427"/>
      <c r="AH553" s="1428"/>
      <c r="AI553" s="1446"/>
      <c r="AJ553" s="1447"/>
      <c r="AK553" s="1447"/>
      <c r="AL553" s="1448"/>
      <c r="AM553" s="1369">
        <v>10683675</v>
      </c>
      <c r="AN553" s="1370"/>
      <c r="AO553" s="1370"/>
      <c r="AP553" s="1370"/>
      <c r="AQ553" s="1370"/>
      <c r="AR553" s="1370"/>
      <c r="AS553" s="1371"/>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 customHeight="1">
      <c r="B554" s="52" t="s">
        <v>788</v>
      </c>
      <c r="C554" s="1471" t="s">
        <v>2697</v>
      </c>
      <c r="D554" s="1471"/>
      <c r="E554" s="1471"/>
      <c r="F554" s="1471"/>
      <c r="G554" s="1471"/>
      <c r="H554" s="1471"/>
      <c r="I554" s="1471"/>
      <c r="J554" s="1471"/>
      <c r="K554" s="1471"/>
      <c r="L554" s="1471"/>
      <c r="M554" s="1470" t="s">
        <v>2531</v>
      </c>
      <c r="N554" s="1470"/>
      <c r="O554" s="1470"/>
      <c r="P554" s="1470"/>
      <c r="Q554" s="1392"/>
      <c r="R554" s="1393"/>
      <c r="S554" s="1394"/>
      <c r="T554" s="1392"/>
      <c r="U554" s="1393"/>
      <c r="V554" s="1394"/>
      <c r="W554" s="1389"/>
      <c r="X554" s="1390"/>
      <c r="Y554" s="1391"/>
      <c r="Z554" s="1432" t="s">
        <v>1326</v>
      </c>
      <c r="AA554" s="1432"/>
      <c r="AB554" s="1432"/>
      <c r="AC554" s="1432"/>
      <c r="AD554" s="1432"/>
      <c r="AE554" s="1426"/>
      <c r="AF554" s="1427"/>
      <c r="AG554" s="1427"/>
      <c r="AH554" s="1428"/>
      <c r="AI554" s="1446"/>
      <c r="AJ554" s="1447"/>
      <c r="AK554" s="1447"/>
      <c r="AL554" s="1448"/>
      <c r="AM554" s="1369">
        <v>5526345</v>
      </c>
      <c r="AN554" s="1370"/>
      <c r="AO554" s="1370"/>
      <c r="AP554" s="1370"/>
      <c r="AQ554" s="1370"/>
      <c r="AR554" s="1370"/>
      <c r="AS554" s="1371"/>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 customHeight="1">
      <c r="B555" s="52" t="s">
        <v>594</v>
      </c>
      <c r="C555" s="1471" t="s">
        <v>2670</v>
      </c>
      <c r="D555" s="1471"/>
      <c r="E555" s="1471"/>
      <c r="F555" s="1471"/>
      <c r="G555" s="1471"/>
      <c r="H555" s="1471"/>
      <c r="I555" s="1471"/>
      <c r="J555" s="1471"/>
      <c r="K555" s="1471"/>
      <c r="L555" s="1471"/>
      <c r="M555" s="1470" t="s">
        <v>2527</v>
      </c>
      <c r="N555" s="1470"/>
      <c r="O555" s="1470"/>
      <c r="P555" s="1470"/>
      <c r="Q555" s="1392"/>
      <c r="R555" s="1393"/>
      <c r="S555" s="1394"/>
      <c r="T555" s="1392"/>
      <c r="U555" s="1393"/>
      <c r="V555" s="1394"/>
      <c r="W555" s="1389"/>
      <c r="X555" s="1390"/>
      <c r="Y555" s="1391"/>
      <c r="Z555" s="1432" t="s">
        <v>1326</v>
      </c>
      <c r="AA555" s="1432"/>
      <c r="AB555" s="1432"/>
      <c r="AC555" s="1432"/>
      <c r="AD555" s="1432"/>
      <c r="AE555" s="1426"/>
      <c r="AF555" s="1427"/>
      <c r="AG555" s="1427"/>
      <c r="AH555" s="1428"/>
      <c r="AI555" s="1446"/>
      <c r="AJ555" s="1447"/>
      <c r="AK555" s="1447"/>
      <c r="AL555" s="1448"/>
      <c r="AM555" s="1369">
        <v>997590</v>
      </c>
      <c r="AN555" s="1370"/>
      <c r="AO555" s="1370"/>
      <c r="AP555" s="1370"/>
      <c r="AQ555" s="1370"/>
      <c r="AR555" s="1370"/>
      <c r="AS555" s="1371"/>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 customHeight="1">
      <c r="B556" s="52" t="s">
        <v>465</v>
      </c>
      <c r="C556" s="1471" t="s">
        <v>2670</v>
      </c>
      <c r="D556" s="1471"/>
      <c r="E556" s="1471"/>
      <c r="F556" s="1471"/>
      <c r="G556" s="1471"/>
      <c r="H556" s="1471"/>
      <c r="I556" s="1471"/>
      <c r="J556" s="1471"/>
      <c r="K556" s="1471"/>
      <c r="L556" s="1471"/>
      <c r="M556" s="1470" t="s">
        <v>2542</v>
      </c>
      <c r="N556" s="1470"/>
      <c r="O556" s="1470"/>
      <c r="P556" s="1470"/>
      <c r="Q556" s="1392"/>
      <c r="R556" s="1393"/>
      <c r="S556" s="1394"/>
      <c r="T556" s="1392"/>
      <c r="U556" s="1393"/>
      <c r="V556" s="1394"/>
      <c r="W556" s="1389"/>
      <c r="X556" s="1390"/>
      <c r="Y556" s="1391"/>
      <c r="Z556" s="1432" t="s">
        <v>1326</v>
      </c>
      <c r="AA556" s="1432"/>
      <c r="AB556" s="1432"/>
      <c r="AC556" s="1432"/>
      <c r="AD556" s="1432"/>
      <c r="AE556" s="1426"/>
      <c r="AF556" s="1427"/>
      <c r="AG556" s="1427"/>
      <c r="AH556" s="1428"/>
      <c r="AI556" s="1446"/>
      <c r="AJ556" s="1447"/>
      <c r="AK556" s="1447"/>
      <c r="AL556" s="1448"/>
      <c r="AM556" s="1369">
        <v>3475174</v>
      </c>
      <c r="AN556" s="1370"/>
      <c r="AO556" s="1370"/>
      <c r="AP556" s="1370"/>
      <c r="AQ556" s="1370"/>
      <c r="AR556" s="1370"/>
      <c r="AS556" s="1371"/>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 customHeight="1">
      <c r="B557" s="52" t="s">
        <v>466</v>
      </c>
      <c r="C557" s="1471"/>
      <c r="D557" s="1471"/>
      <c r="E557" s="1471"/>
      <c r="F557" s="1471"/>
      <c r="G557" s="1471"/>
      <c r="H557" s="1471"/>
      <c r="I557" s="1471"/>
      <c r="J557" s="1471"/>
      <c r="K557" s="1471"/>
      <c r="L557" s="1471"/>
      <c r="M557" s="1470" t="s">
        <v>1326</v>
      </c>
      <c r="N557" s="1470"/>
      <c r="O557" s="1470"/>
      <c r="P557" s="1470"/>
      <c r="Q557" s="1392"/>
      <c r="R557" s="1393"/>
      <c r="S557" s="1394"/>
      <c r="T557" s="1392"/>
      <c r="U557" s="1393"/>
      <c r="V557" s="1394"/>
      <c r="W557" s="1389"/>
      <c r="X557" s="1390"/>
      <c r="Y557" s="1391"/>
      <c r="Z557" s="1432" t="s">
        <v>1326</v>
      </c>
      <c r="AA557" s="1432"/>
      <c r="AB557" s="1432"/>
      <c r="AC557" s="1432"/>
      <c r="AD557" s="1432"/>
      <c r="AE557" s="1426"/>
      <c r="AF557" s="1427"/>
      <c r="AG557" s="1427"/>
      <c r="AH557" s="1428"/>
      <c r="AI557" s="1446"/>
      <c r="AJ557" s="1447"/>
      <c r="AK557" s="1447"/>
      <c r="AL557" s="1448"/>
      <c r="AM557" s="1369"/>
      <c r="AN557" s="1370"/>
      <c r="AO557" s="1370"/>
      <c r="AP557" s="1370"/>
      <c r="AQ557" s="1370"/>
      <c r="AR557" s="1370"/>
      <c r="AS557" s="1371"/>
      <c r="AT557" s="1201" t="str">
        <f t="shared" si="0"/>
        <v/>
      </c>
      <c r="AU557" s="1200"/>
      <c r="BB557" s="3"/>
      <c r="BC557" s="3"/>
      <c r="BD557" s="3"/>
      <c r="BE557" s="3"/>
      <c r="BF557" s="3"/>
      <c r="BG557" s="3"/>
      <c r="BH557" s="3" t="s">
        <v>788</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 customHeight="1">
      <c r="B558" s="52" t="s">
        <v>471</v>
      </c>
      <c r="C558" s="1471"/>
      <c r="D558" s="1471"/>
      <c r="E558" s="1471"/>
      <c r="F558" s="1471"/>
      <c r="G558" s="1471"/>
      <c r="H558" s="1471"/>
      <c r="I558" s="1471"/>
      <c r="J558" s="1471"/>
      <c r="K558" s="1471"/>
      <c r="L558" s="1471"/>
      <c r="M558" s="1470" t="s">
        <v>1326</v>
      </c>
      <c r="N558" s="1470"/>
      <c r="O558" s="1470"/>
      <c r="P558" s="1470"/>
      <c r="Q558" s="1392"/>
      <c r="R558" s="1393"/>
      <c r="S558" s="1394"/>
      <c r="T558" s="1392"/>
      <c r="U558" s="1393"/>
      <c r="V558" s="1394"/>
      <c r="W558" s="1389"/>
      <c r="X558" s="1390"/>
      <c r="Y558" s="1391"/>
      <c r="Z558" s="1432" t="s">
        <v>1326</v>
      </c>
      <c r="AA558" s="1432"/>
      <c r="AB558" s="1432"/>
      <c r="AC558" s="1432"/>
      <c r="AD558" s="1432"/>
      <c r="AE558" s="1426"/>
      <c r="AF558" s="1427"/>
      <c r="AG558" s="1427"/>
      <c r="AH558" s="1428"/>
      <c r="AI558" s="1446"/>
      <c r="AJ558" s="1447"/>
      <c r="AK558" s="1447"/>
      <c r="AL558" s="1448"/>
      <c r="AM558" s="1369"/>
      <c r="AN558" s="1370"/>
      <c r="AO558" s="1370"/>
      <c r="AP558" s="1370"/>
      <c r="AQ558" s="1370"/>
      <c r="AR558" s="1370"/>
      <c r="AS558" s="1371"/>
      <c r="AT558" s="1201" t="str">
        <f t="shared" si="0"/>
        <v/>
      </c>
      <c r="AU558" s="1200"/>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 customHeight="1">
      <c r="B559" s="52" t="s">
        <v>656</v>
      </c>
      <c r="C559" s="1471"/>
      <c r="D559" s="1471"/>
      <c r="E559" s="1471"/>
      <c r="F559" s="1471"/>
      <c r="G559" s="1471"/>
      <c r="H559" s="1471"/>
      <c r="I559" s="1471"/>
      <c r="J559" s="1471"/>
      <c r="K559" s="1471"/>
      <c r="L559" s="1471"/>
      <c r="M559" s="1470" t="s">
        <v>1326</v>
      </c>
      <c r="N559" s="1470"/>
      <c r="O559" s="1470"/>
      <c r="P559" s="1470"/>
      <c r="Q559" s="1392"/>
      <c r="R559" s="1393"/>
      <c r="S559" s="1394"/>
      <c r="T559" s="1392"/>
      <c r="U559" s="1393"/>
      <c r="V559" s="1394"/>
      <c r="W559" s="1389"/>
      <c r="X559" s="1390"/>
      <c r="Y559" s="1391"/>
      <c r="Z559" s="1432" t="s">
        <v>1326</v>
      </c>
      <c r="AA559" s="1432"/>
      <c r="AB559" s="1432"/>
      <c r="AC559" s="1432"/>
      <c r="AD559" s="1432"/>
      <c r="AE559" s="1426"/>
      <c r="AF559" s="1427"/>
      <c r="AG559" s="1427"/>
      <c r="AH559" s="1428"/>
      <c r="AI559" s="1446"/>
      <c r="AJ559" s="1447"/>
      <c r="AK559" s="1447"/>
      <c r="AL559" s="1448"/>
      <c r="AM559" s="1369"/>
      <c r="AN559" s="1370"/>
      <c r="AO559" s="1370"/>
      <c r="AP559" s="1370"/>
      <c r="AQ559" s="1370"/>
      <c r="AR559" s="1370"/>
      <c r="AS559" s="1371"/>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 customHeight="1">
      <c r="B560" s="52" t="s">
        <v>364</v>
      </c>
      <c r="C560" s="1471"/>
      <c r="D560" s="1471"/>
      <c r="E560" s="1471"/>
      <c r="F560" s="1471"/>
      <c r="G560" s="1471"/>
      <c r="H560" s="1471"/>
      <c r="I560" s="1471"/>
      <c r="J560" s="1471"/>
      <c r="K560" s="1471"/>
      <c r="L560" s="1471"/>
      <c r="M560" s="1470" t="s">
        <v>1326</v>
      </c>
      <c r="N560" s="1470"/>
      <c r="O560" s="1470"/>
      <c r="P560" s="1470"/>
      <c r="Q560" s="1392"/>
      <c r="R560" s="1393"/>
      <c r="S560" s="1394"/>
      <c r="T560" s="1392"/>
      <c r="U560" s="1393"/>
      <c r="V560" s="1394"/>
      <c r="W560" s="1389"/>
      <c r="X560" s="1390"/>
      <c r="Y560" s="1391"/>
      <c r="Z560" s="1432" t="s">
        <v>1326</v>
      </c>
      <c r="AA560" s="1432"/>
      <c r="AB560" s="1432"/>
      <c r="AC560" s="1432"/>
      <c r="AD560" s="1432"/>
      <c r="AE560" s="1426"/>
      <c r="AF560" s="1427"/>
      <c r="AG560" s="1427"/>
      <c r="AH560" s="1428"/>
      <c r="AI560" s="1446"/>
      <c r="AJ560" s="1447"/>
      <c r="AK560" s="1447"/>
      <c r="AL560" s="1448"/>
      <c r="AM560" s="1369"/>
      <c r="AN560" s="1370"/>
      <c r="AO560" s="1370"/>
      <c r="AP560" s="1370"/>
      <c r="AQ560" s="1370"/>
      <c r="AR560" s="1370"/>
      <c r="AS560" s="1371"/>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 customHeight="1">
      <c r="B561" s="52" t="s">
        <v>365</v>
      </c>
      <c r="C561" s="1471"/>
      <c r="D561" s="1471"/>
      <c r="E561" s="1471"/>
      <c r="F561" s="1471"/>
      <c r="G561" s="1471"/>
      <c r="H561" s="1471"/>
      <c r="I561" s="1471"/>
      <c r="J561" s="1471"/>
      <c r="K561" s="1471"/>
      <c r="L561" s="1471"/>
      <c r="M561" s="1470" t="s">
        <v>1326</v>
      </c>
      <c r="N561" s="1470"/>
      <c r="O561" s="1470"/>
      <c r="P561" s="1470"/>
      <c r="Q561" s="1392"/>
      <c r="R561" s="1393"/>
      <c r="S561" s="1394"/>
      <c r="T561" s="1392"/>
      <c r="U561" s="1393"/>
      <c r="V561" s="1394"/>
      <c r="W561" s="1389"/>
      <c r="X561" s="1390"/>
      <c r="Y561" s="1391"/>
      <c r="Z561" s="1432" t="s">
        <v>1326</v>
      </c>
      <c r="AA561" s="1432"/>
      <c r="AB561" s="1432"/>
      <c r="AC561" s="1432"/>
      <c r="AD561" s="1432"/>
      <c r="AE561" s="1426"/>
      <c r="AF561" s="1427"/>
      <c r="AG561" s="1427"/>
      <c r="AH561" s="1428"/>
      <c r="AI561" s="1446"/>
      <c r="AJ561" s="1447"/>
      <c r="AK561" s="1447"/>
      <c r="AL561" s="1448"/>
      <c r="AM561" s="1369"/>
      <c r="AN561" s="1370"/>
      <c r="AO561" s="1370"/>
      <c r="AP561" s="1370"/>
      <c r="AQ561" s="1370"/>
      <c r="AR561" s="1370"/>
      <c r="AS561" s="1371"/>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 customHeight="1">
      <c r="B562" s="1517" t="s">
        <v>128</v>
      </c>
      <c r="C562" s="1518"/>
      <c r="D562" s="1518"/>
      <c r="E562" s="1518"/>
      <c r="F562" s="1518"/>
      <c r="G562" s="1518"/>
      <c r="H562" s="1518"/>
      <c r="I562" s="1518"/>
      <c r="J562" s="1518"/>
      <c r="K562" s="1518"/>
      <c r="L562" s="1518"/>
      <c r="M562" s="1518"/>
      <c r="N562" s="1518"/>
      <c r="O562" s="1518"/>
      <c r="P562" s="1518"/>
      <c r="Q562" s="1518"/>
      <c r="R562" s="1518"/>
      <c r="S562" s="1518"/>
      <c r="T562" s="1518"/>
      <c r="U562" s="1519"/>
      <c r="V562" s="1518"/>
      <c r="W562" s="1518"/>
      <c r="X562" s="1518"/>
      <c r="Y562" s="1518"/>
      <c r="Z562" s="1518"/>
      <c r="AA562" s="1518"/>
      <c r="AB562" s="1518"/>
      <c r="AC562" s="1518"/>
      <c r="AD562" s="1518"/>
      <c r="AE562" s="1518"/>
      <c r="AF562" s="1518"/>
      <c r="AG562" s="1518"/>
      <c r="AH562" s="1518"/>
      <c r="AI562" s="1518"/>
      <c r="AJ562" s="1518"/>
      <c r="AK562" s="1518"/>
      <c r="AL562" s="1520"/>
      <c r="AM562" s="1514">
        <f>SUM(AM550:AS561)</f>
        <v>89389242</v>
      </c>
      <c r="AN562" s="1515"/>
      <c r="AO562" s="1515"/>
      <c r="AP562" s="1515"/>
      <c r="AQ562" s="1515"/>
      <c r="AR562" s="1515"/>
      <c r="AS562" s="1516"/>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 customHeight="1">
      <c r="A564" s="55" t="s">
        <v>113</v>
      </c>
      <c r="B564" t="s">
        <v>473</v>
      </c>
      <c r="G564" s="1511" t="str">
        <f>C550</f>
        <v>Citibank, N.A.</v>
      </c>
      <c r="H564" s="1511"/>
      <c r="I564" s="1511"/>
      <c r="J564" s="1511"/>
      <c r="K564" s="1511"/>
      <c r="L564" s="1511"/>
      <c r="M564" s="1511"/>
      <c r="N564" s="1511"/>
      <c r="O564" s="1511"/>
      <c r="P564" s="1511"/>
      <c r="Q564" s="1511"/>
      <c r="R564" s="1511"/>
      <c r="S564" s="8"/>
      <c r="T564" s="55" t="s">
        <v>114</v>
      </c>
      <c r="U564" t="s">
        <v>473</v>
      </c>
      <c r="Z564" s="1511" t="str">
        <f>C551</f>
        <v>Citibank, N.A.</v>
      </c>
      <c r="AA564" s="1511"/>
      <c r="AB564" s="1511"/>
      <c r="AC564" s="1511"/>
      <c r="AD564" s="1511"/>
      <c r="AE564" s="1511"/>
      <c r="AF564" s="1511"/>
      <c r="AG564" s="1511"/>
      <c r="AH564" s="1511"/>
      <c r="AI564" s="1511"/>
      <c r="AJ564" s="1511"/>
      <c r="AK564" s="151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 customHeight="1">
      <c r="A565" s="22"/>
      <c r="B565" t="s">
        <v>86</v>
      </c>
      <c r="G565" s="1510" t="s">
        <v>2684</v>
      </c>
      <c r="H565" s="1395"/>
      <c r="I565" s="1395"/>
      <c r="J565" s="1395"/>
      <c r="K565" s="1395"/>
      <c r="L565" s="1395"/>
      <c r="M565" s="1395"/>
      <c r="N565" s="1395"/>
      <c r="O565" s="1395"/>
      <c r="P565" s="1395"/>
      <c r="Q565" s="1395"/>
      <c r="R565" s="1395"/>
      <c r="S565" s="8"/>
      <c r="T565" s="22"/>
      <c r="U565" t="s">
        <v>86</v>
      </c>
      <c r="Z565" s="1395" t="s">
        <v>2684</v>
      </c>
      <c r="AA565" s="1395"/>
      <c r="AB565" s="1395"/>
      <c r="AC565" s="1395"/>
      <c r="AD565" s="1395"/>
      <c r="AE565" s="1395"/>
      <c r="AF565" s="1395"/>
      <c r="AG565" s="1395"/>
      <c r="AH565" s="1395"/>
      <c r="AI565" s="1395"/>
      <c r="AJ565" s="1395"/>
      <c r="AK565" s="1395"/>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 customHeight="1">
      <c r="A566" s="22"/>
      <c r="B566" t="s">
        <v>590</v>
      </c>
      <c r="G566" s="1395" t="s">
        <v>2685</v>
      </c>
      <c r="H566" s="1395"/>
      <c r="I566" s="1395"/>
      <c r="J566" s="1395"/>
      <c r="K566" s="1395"/>
      <c r="L566" s="1395"/>
      <c r="M566" s="1395"/>
      <c r="N566" s="1395"/>
      <c r="O566" s="1395"/>
      <c r="P566" s="1395"/>
      <c r="Q566" s="1395"/>
      <c r="R566" s="1395"/>
      <c r="T566" s="22"/>
      <c r="U566" t="s">
        <v>590</v>
      </c>
      <c r="Z566" s="1367" t="s">
        <v>2685</v>
      </c>
      <c r="AA566" s="1367"/>
      <c r="AB566" s="1367"/>
      <c r="AC566" s="1367"/>
      <c r="AD566" s="1367"/>
      <c r="AE566" s="1367"/>
      <c r="AF566" s="1367"/>
      <c r="AG566" s="1367"/>
      <c r="AH566" s="1367"/>
      <c r="AI566" s="1367"/>
      <c r="AJ566" s="1367"/>
      <c r="AK566" s="1367"/>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 customHeight="1">
      <c r="A567" s="22"/>
      <c r="B567" t="s">
        <v>17</v>
      </c>
      <c r="G567" s="1395" t="s">
        <v>2686</v>
      </c>
      <c r="H567" s="1395"/>
      <c r="I567" s="1395"/>
      <c r="J567" s="1395"/>
      <c r="K567" s="1395"/>
      <c r="L567" s="1395"/>
      <c r="M567" s="1395"/>
      <c r="N567" s="1395"/>
      <c r="O567" s="1395"/>
      <c r="P567" s="1395"/>
      <c r="Q567" s="1395"/>
      <c r="R567" s="1395"/>
      <c r="S567" s="8"/>
      <c r="T567" s="22"/>
      <c r="U567" t="s">
        <v>17</v>
      </c>
      <c r="Z567" s="1367" t="s">
        <v>2686</v>
      </c>
      <c r="AA567" s="1367"/>
      <c r="AB567" s="1367"/>
      <c r="AC567" s="1367"/>
      <c r="AD567" s="1367"/>
      <c r="AE567" s="1367"/>
      <c r="AF567" s="1367"/>
      <c r="AG567" s="1367"/>
      <c r="AH567" s="1367"/>
      <c r="AI567" s="1367"/>
      <c r="AJ567" s="1367"/>
      <c r="AK567" s="1367"/>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 customHeight="1">
      <c r="A568" s="22"/>
      <c r="B568" t="s">
        <v>318</v>
      </c>
      <c r="G568" s="1436">
        <v>8055570933</v>
      </c>
      <c r="H568" s="1436"/>
      <c r="I568" s="1436"/>
      <c r="J568" s="1436"/>
      <c r="K568" s="1436"/>
      <c r="L568" s="1436"/>
      <c r="O568" s="33" t="s">
        <v>208</v>
      </c>
      <c r="P568" s="1462"/>
      <c r="Q568" s="1462"/>
      <c r="R568" s="1462"/>
      <c r="S568" s="10"/>
      <c r="T568" s="22"/>
      <c r="U568" t="s">
        <v>318</v>
      </c>
      <c r="Z568" s="1436">
        <v>8055570933</v>
      </c>
      <c r="AA568" s="1436"/>
      <c r="AB568" s="1436"/>
      <c r="AC568" s="1436"/>
      <c r="AD568" s="1436"/>
      <c r="AE568" s="1436"/>
      <c r="AH568" s="33" t="s">
        <v>208</v>
      </c>
      <c r="AI568" s="1462"/>
      <c r="AJ568" s="1462"/>
      <c r="AK568" s="146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 customHeight="1">
      <c r="A569" s="22"/>
      <c r="B569" t="s">
        <v>18</v>
      </c>
      <c r="H569" s="1510" t="s">
        <v>2695</v>
      </c>
      <c r="I569" s="1395"/>
      <c r="J569" s="1395"/>
      <c r="K569" s="1395"/>
      <c r="L569" s="1395"/>
      <c r="M569" s="1395"/>
      <c r="N569" s="1395"/>
      <c r="O569" s="1395"/>
      <c r="P569" s="1395"/>
      <c r="Q569" s="1395"/>
      <c r="R569" s="1395"/>
      <c r="S569" s="8"/>
      <c r="T569" s="22"/>
      <c r="U569" t="s">
        <v>18</v>
      </c>
      <c r="AA569" s="1510" t="s">
        <v>2698</v>
      </c>
      <c r="AB569" s="1395"/>
      <c r="AC569" s="1395"/>
      <c r="AD569" s="1395"/>
      <c r="AE569" s="1395"/>
      <c r="AF569" s="1395"/>
      <c r="AG569" s="1395"/>
      <c r="AH569" s="1395"/>
      <c r="AI569" s="1395"/>
      <c r="AJ569" s="1395"/>
      <c r="AK569" s="139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 customHeight="1">
      <c r="A570" s="22"/>
      <c r="B570" s="349" t="s">
        <v>1327</v>
      </c>
      <c r="H570" s="8"/>
      <c r="I570" s="8"/>
      <c r="J570" s="8"/>
      <c r="K570" s="8"/>
      <c r="L570" s="8"/>
      <c r="M570" s="1528"/>
      <c r="N570" s="1528"/>
      <c r="O570" s="1528"/>
      <c r="P570" s="1528"/>
      <c r="Q570" s="1528"/>
      <c r="R570" s="1528"/>
      <c r="S570" s="8"/>
      <c r="T570" s="22"/>
      <c r="U570" s="349" t="s">
        <v>1327</v>
      </c>
      <c r="AA570" s="8"/>
      <c r="AB570" s="8"/>
      <c r="AC570" s="8"/>
      <c r="AD570" s="8"/>
      <c r="AE570" s="8"/>
      <c r="AF570" s="1528"/>
      <c r="AG570" s="1528"/>
      <c r="AH570" s="1528"/>
      <c r="AI570" s="1528"/>
      <c r="AJ570" s="1528"/>
      <c r="AK570" s="152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 customHeight="1">
      <c r="A571" s="22"/>
      <c r="B571" t="s">
        <v>20</v>
      </c>
      <c r="N571" s="1374" t="s">
        <v>555</v>
      </c>
      <c r="O571" s="1374"/>
      <c r="T571" s="22"/>
      <c r="U571" t="s">
        <v>20</v>
      </c>
      <c r="AG571" s="1374" t="s">
        <v>555</v>
      </c>
      <c r="AH571" s="137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 customHeight="1">
      <c r="A573" s="55" t="s">
        <v>120</v>
      </c>
      <c r="B573" t="s">
        <v>473</v>
      </c>
      <c r="G573" s="1511" t="str">
        <f>C552</f>
        <v>Citibank, N.A.</v>
      </c>
      <c r="H573" s="1511"/>
      <c r="I573" s="1511"/>
      <c r="J573" s="1511"/>
      <c r="K573" s="1511"/>
      <c r="L573" s="1511"/>
      <c r="M573" s="1511"/>
      <c r="N573" s="1511"/>
      <c r="O573" s="1511"/>
      <c r="P573" s="1511"/>
      <c r="Q573" s="1511"/>
      <c r="R573" s="1511"/>
      <c r="T573" s="55" t="s">
        <v>591</v>
      </c>
      <c r="U573" t="s">
        <v>473</v>
      </c>
      <c r="Z573" s="1511" t="str">
        <f>C553</f>
        <v>Vintage Housing Development, Inc.</v>
      </c>
      <c r="AA573" s="1511"/>
      <c r="AB573" s="1511"/>
      <c r="AC573" s="1511"/>
      <c r="AD573" s="1511"/>
      <c r="AE573" s="1511"/>
      <c r="AF573" s="1511"/>
      <c r="AG573" s="1511"/>
      <c r="AH573" s="1511"/>
      <c r="AI573" s="1511"/>
      <c r="AJ573" s="1511"/>
      <c r="AK573" s="151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 customHeight="1">
      <c r="A574" s="22"/>
      <c r="B574" t="s">
        <v>86</v>
      </c>
      <c r="G574" s="1395" t="s">
        <v>2684</v>
      </c>
      <c r="H574" s="1395"/>
      <c r="I574" s="1395"/>
      <c r="J574" s="1395"/>
      <c r="K574" s="1395"/>
      <c r="L574" s="1395"/>
      <c r="M574" s="1395"/>
      <c r="N574" s="1395"/>
      <c r="O574" s="1395"/>
      <c r="P574" s="1395"/>
      <c r="Q574" s="1395"/>
      <c r="R574" s="1395"/>
      <c r="T574" s="22"/>
      <c r="U574" t="s">
        <v>86</v>
      </c>
      <c r="Z574" s="1395" t="s">
        <v>2642</v>
      </c>
      <c r="AA574" s="1395"/>
      <c r="AB574" s="1395"/>
      <c r="AC574" s="1395"/>
      <c r="AD574" s="1395"/>
      <c r="AE574" s="1395"/>
      <c r="AF574" s="1395"/>
      <c r="AG574" s="1395"/>
      <c r="AH574" s="1395"/>
      <c r="AI574" s="1395"/>
      <c r="AJ574" s="1395"/>
      <c r="AK574" s="139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 customHeight="1">
      <c r="A575" s="22"/>
      <c r="B575" t="s">
        <v>590</v>
      </c>
      <c r="G575" s="1367" t="s">
        <v>2685</v>
      </c>
      <c r="H575" s="1367"/>
      <c r="I575" s="1367"/>
      <c r="J575" s="1367"/>
      <c r="K575" s="1367"/>
      <c r="L575" s="1367"/>
      <c r="M575" s="1367"/>
      <c r="N575" s="1367"/>
      <c r="O575" s="1367"/>
      <c r="P575" s="1367"/>
      <c r="Q575" s="1367"/>
      <c r="R575" s="1367"/>
      <c r="T575" s="22"/>
      <c r="U575" t="s">
        <v>590</v>
      </c>
      <c r="Z575" s="1367" t="s">
        <v>2661</v>
      </c>
      <c r="AA575" s="1367"/>
      <c r="AB575" s="1367"/>
      <c r="AC575" s="1367"/>
      <c r="AD575" s="1367"/>
      <c r="AE575" s="1367"/>
      <c r="AF575" s="1367"/>
      <c r="AG575" s="1367"/>
      <c r="AH575" s="1367"/>
      <c r="AI575" s="1367"/>
      <c r="AJ575" s="1367"/>
      <c r="AK575" s="1367"/>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 customHeight="1">
      <c r="A576" s="22"/>
      <c r="B576" t="s">
        <v>17</v>
      </c>
      <c r="G576" s="1367" t="s">
        <v>2686</v>
      </c>
      <c r="H576" s="1367"/>
      <c r="I576" s="1367"/>
      <c r="J576" s="1367"/>
      <c r="K576" s="1367"/>
      <c r="L576" s="1367"/>
      <c r="M576" s="1367"/>
      <c r="N576" s="1367"/>
      <c r="O576" s="1367"/>
      <c r="P576" s="1367"/>
      <c r="Q576" s="1367"/>
      <c r="R576" s="1367"/>
      <c r="T576" s="22"/>
      <c r="U576" t="s">
        <v>17</v>
      </c>
      <c r="Z576" s="1512" t="s">
        <v>2644</v>
      </c>
      <c r="AA576" s="1367"/>
      <c r="AB576" s="1367"/>
      <c r="AC576" s="1367"/>
      <c r="AD576" s="1367"/>
      <c r="AE576" s="1367"/>
      <c r="AF576" s="1367"/>
      <c r="AG576" s="1367"/>
      <c r="AH576" s="1367"/>
      <c r="AI576" s="1367"/>
      <c r="AJ576" s="1367"/>
      <c r="AK576" s="1367"/>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 customHeight="1">
      <c r="A577" s="22"/>
      <c r="B577" t="s">
        <v>318</v>
      </c>
      <c r="G577" s="1436">
        <v>8055570933</v>
      </c>
      <c r="H577" s="1436"/>
      <c r="I577" s="1436"/>
      <c r="J577" s="1436"/>
      <c r="K577" s="1436"/>
      <c r="L577" s="1436"/>
      <c r="O577" s="33" t="s">
        <v>208</v>
      </c>
      <c r="P577" s="1462"/>
      <c r="Q577" s="1462"/>
      <c r="R577" s="1462"/>
      <c r="T577" s="22"/>
      <c r="U577" t="s">
        <v>318</v>
      </c>
      <c r="Z577" s="1436" t="s">
        <v>2645</v>
      </c>
      <c r="AA577" s="1436"/>
      <c r="AB577" s="1436"/>
      <c r="AC577" s="1436"/>
      <c r="AD577" s="1436"/>
      <c r="AE577" s="1436"/>
      <c r="AH577" s="33" t="s">
        <v>208</v>
      </c>
      <c r="AI577" s="1462"/>
      <c r="AJ577" s="1462"/>
      <c r="AK577" s="146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 customHeight="1">
      <c r="A578" s="22"/>
      <c r="B578" t="s">
        <v>18</v>
      </c>
      <c r="H578" s="1510" t="s">
        <v>2699</v>
      </c>
      <c r="I578" s="1395"/>
      <c r="J578" s="1395"/>
      <c r="K578" s="1395"/>
      <c r="L578" s="1395"/>
      <c r="M578" s="1395"/>
      <c r="N578" s="1395"/>
      <c r="O578" s="1395"/>
      <c r="P578" s="1395"/>
      <c r="Q578" s="1395"/>
      <c r="R578" s="1395"/>
      <c r="T578" s="22"/>
      <c r="U578" t="s">
        <v>18</v>
      </c>
      <c r="AA578" s="1510" t="s">
        <v>1920</v>
      </c>
      <c r="AB578" s="1395"/>
      <c r="AC578" s="1395"/>
      <c r="AD578" s="1395"/>
      <c r="AE578" s="1395"/>
      <c r="AF578" s="1395"/>
      <c r="AG578" s="1395"/>
      <c r="AH578" s="1395"/>
      <c r="AI578" s="1395"/>
      <c r="AJ578" s="1395"/>
      <c r="AK578" s="139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 customHeight="1">
      <c r="A579" s="22"/>
      <c r="B579" t="s">
        <v>20</v>
      </c>
      <c r="N579" s="1374" t="s">
        <v>555</v>
      </c>
      <c r="O579" s="1374"/>
      <c r="T579" s="22"/>
      <c r="U579" t="s">
        <v>20</v>
      </c>
      <c r="AG579" s="1374" t="s">
        <v>555</v>
      </c>
      <c r="AH579" s="137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 customHeight="1">
      <c r="A581" s="55" t="s">
        <v>788</v>
      </c>
      <c r="B581" t="s">
        <v>473</v>
      </c>
      <c r="G581" s="1511" t="str">
        <f>C554</f>
        <v>Aegon Realty Advisors</v>
      </c>
      <c r="H581" s="1511"/>
      <c r="I581" s="1511"/>
      <c r="J581" s="1511"/>
      <c r="K581" s="1511"/>
      <c r="L581" s="1511"/>
      <c r="M581" s="1511"/>
      <c r="N581" s="1511"/>
      <c r="O581" s="1511"/>
      <c r="P581" s="1511"/>
      <c r="Q581" s="1511"/>
      <c r="R581" s="1511"/>
      <c r="T581" s="55" t="s">
        <v>594</v>
      </c>
      <c r="U581" t="s">
        <v>473</v>
      </c>
      <c r="Z581" s="1511" t="str">
        <f>C555</f>
        <v>Vintage Housing Holdings, LLC</v>
      </c>
      <c r="AA581" s="1511"/>
      <c r="AB581" s="1511"/>
      <c r="AC581" s="1511"/>
      <c r="AD581" s="1511"/>
      <c r="AE581" s="1511"/>
      <c r="AF581" s="1511"/>
      <c r="AG581" s="1511"/>
      <c r="AH581" s="1511"/>
      <c r="AI581" s="1511"/>
      <c r="AJ581" s="1511"/>
      <c r="AK581" s="151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 customHeight="1">
      <c r="A582" s="22"/>
      <c r="B582" t="s">
        <v>86</v>
      </c>
      <c r="G582" s="1395" t="s">
        <v>2700</v>
      </c>
      <c r="H582" s="1395"/>
      <c r="I582" s="1395"/>
      <c r="J582" s="1395"/>
      <c r="K582" s="1395"/>
      <c r="L582" s="1395"/>
      <c r="M582" s="1395"/>
      <c r="N582" s="1395"/>
      <c r="O582" s="1395"/>
      <c r="P582" s="1395"/>
      <c r="Q582" s="1395"/>
      <c r="R582" s="1395"/>
      <c r="T582" s="22"/>
      <c r="U582" t="s">
        <v>86</v>
      </c>
      <c r="Z582" s="1395" t="s">
        <v>2642</v>
      </c>
      <c r="AA582" s="1395"/>
      <c r="AB582" s="1395"/>
      <c r="AC582" s="1395"/>
      <c r="AD582" s="1395"/>
      <c r="AE582" s="1395"/>
      <c r="AF582" s="1395"/>
      <c r="AG582" s="1395"/>
      <c r="AH582" s="1395"/>
      <c r="AI582" s="1395"/>
      <c r="AJ582" s="1395"/>
      <c r="AK582" s="139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 customHeight="1">
      <c r="A583" s="22"/>
      <c r="B583" t="s">
        <v>590</v>
      </c>
      <c r="G583" s="1395" t="s">
        <v>743</v>
      </c>
      <c r="H583" s="1395"/>
      <c r="I583" s="1395"/>
      <c r="J583" s="1395"/>
      <c r="K583" s="1395"/>
      <c r="L583" s="1395"/>
      <c r="M583" s="1395"/>
      <c r="N583" s="1395"/>
      <c r="O583" s="1395"/>
      <c r="P583" s="1395"/>
      <c r="Q583" s="1395"/>
      <c r="R583" s="1395"/>
      <c r="T583" s="22"/>
      <c r="U583" t="s">
        <v>590</v>
      </c>
      <c r="Z583" s="1367" t="s">
        <v>2661</v>
      </c>
      <c r="AA583" s="1367"/>
      <c r="AB583" s="1367"/>
      <c r="AC583" s="1367"/>
      <c r="AD583" s="1367"/>
      <c r="AE583" s="1367"/>
      <c r="AF583" s="1367"/>
      <c r="AG583" s="1367"/>
      <c r="AH583" s="1367"/>
      <c r="AI583" s="1367"/>
      <c r="AJ583" s="1367"/>
      <c r="AK583" s="1367"/>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 customHeight="1">
      <c r="A584" s="22"/>
      <c r="B584" t="s">
        <v>17</v>
      </c>
      <c r="G584" s="1395" t="s">
        <v>2701</v>
      </c>
      <c r="H584" s="1395"/>
      <c r="I584" s="1395"/>
      <c r="J584" s="1395"/>
      <c r="K584" s="1395"/>
      <c r="L584" s="1395"/>
      <c r="M584" s="1395"/>
      <c r="N584" s="1395"/>
      <c r="O584" s="1395"/>
      <c r="P584" s="1395"/>
      <c r="Q584" s="1395"/>
      <c r="R584" s="1395"/>
      <c r="T584" s="22"/>
      <c r="U584" t="s">
        <v>17</v>
      </c>
      <c r="Z584" s="1367" t="s">
        <v>2644</v>
      </c>
      <c r="AA584" s="1367"/>
      <c r="AB584" s="1367"/>
      <c r="AC584" s="1367"/>
      <c r="AD584" s="1367"/>
      <c r="AE584" s="1367"/>
      <c r="AF584" s="1367"/>
      <c r="AG584" s="1367"/>
      <c r="AH584" s="1367"/>
      <c r="AI584" s="1367"/>
      <c r="AJ584" s="1367"/>
      <c r="AK584" s="1367"/>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 customHeight="1">
      <c r="A585" s="22"/>
      <c r="B585" t="s">
        <v>318</v>
      </c>
      <c r="G585" s="1436">
        <v>4159834005</v>
      </c>
      <c r="H585" s="1436"/>
      <c r="I585" s="1436"/>
      <c r="J585" s="1436"/>
      <c r="K585" s="1436"/>
      <c r="L585" s="1436"/>
      <c r="O585" s="33" t="s">
        <v>208</v>
      </c>
      <c r="P585" s="1462"/>
      <c r="Q585" s="1462"/>
      <c r="R585" s="1462"/>
      <c r="T585" s="22"/>
      <c r="U585" t="s">
        <v>318</v>
      </c>
      <c r="Z585" s="1436" t="s">
        <v>2645</v>
      </c>
      <c r="AA585" s="1436"/>
      <c r="AB585" s="1436"/>
      <c r="AC585" s="1436"/>
      <c r="AD585" s="1436"/>
      <c r="AE585" s="1436"/>
      <c r="AH585" s="33" t="s">
        <v>208</v>
      </c>
      <c r="AI585" s="1462"/>
      <c r="AJ585" s="1462"/>
      <c r="AK585" s="146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 customHeight="1">
      <c r="A586" s="22"/>
      <c r="B586" t="s">
        <v>18</v>
      </c>
      <c r="H586" s="1395" t="s">
        <v>2702</v>
      </c>
      <c r="I586" s="1395"/>
      <c r="J586" s="1395"/>
      <c r="K586" s="1395"/>
      <c r="L586" s="1395"/>
      <c r="M586" s="1395"/>
      <c r="N586" s="1395"/>
      <c r="O586" s="1395"/>
      <c r="P586" s="1395"/>
      <c r="Q586" s="1395"/>
      <c r="R586" s="1395"/>
      <c r="T586" s="22"/>
      <c r="U586" t="s">
        <v>18</v>
      </c>
      <c r="AA586" s="1510" t="s">
        <v>2703</v>
      </c>
      <c r="AB586" s="1395"/>
      <c r="AC586" s="1395"/>
      <c r="AD586" s="1395"/>
      <c r="AE586" s="1395"/>
      <c r="AF586" s="1395"/>
      <c r="AG586" s="1395"/>
      <c r="AH586" s="1395"/>
      <c r="AI586" s="1395"/>
      <c r="AJ586" s="1395"/>
      <c r="AK586" s="139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 customHeight="1">
      <c r="A587" s="22"/>
      <c r="B587" t="s">
        <v>20</v>
      </c>
      <c r="N587" s="1374" t="s">
        <v>555</v>
      </c>
      <c r="O587" s="1374"/>
      <c r="T587" s="22"/>
      <c r="U587" t="s">
        <v>20</v>
      </c>
      <c r="AG587" s="1374" t="s">
        <v>555</v>
      </c>
      <c r="AH587" s="1374"/>
    </row>
    <row r="588" spans="1:110" ht="12.9"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 customHeight="1">
      <c r="A589" s="55" t="s">
        <v>465</v>
      </c>
      <c r="B589" t="s">
        <v>473</v>
      </c>
      <c r="G589" s="1511" t="str">
        <f>C556</f>
        <v>Vintage Housing Holdings, LLC</v>
      </c>
      <c r="H589" s="1511"/>
      <c r="I589" s="1511"/>
      <c r="J589" s="1511"/>
      <c r="K589" s="1511"/>
      <c r="L589" s="1511"/>
      <c r="M589" s="1511"/>
      <c r="N589" s="1511"/>
      <c r="O589" s="1511"/>
      <c r="P589" s="1511"/>
      <c r="Q589" s="1511"/>
      <c r="R589" s="1511"/>
      <c r="T589" s="55" t="s">
        <v>466</v>
      </c>
      <c r="U589" t="s">
        <v>473</v>
      </c>
      <c r="Z589" s="1511">
        <f>C557</f>
        <v>0</v>
      </c>
      <c r="AA589" s="1511"/>
      <c r="AB589" s="1511"/>
      <c r="AC589" s="1511"/>
      <c r="AD589" s="1511"/>
      <c r="AE589" s="1511"/>
      <c r="AF589" s="1511"/>
      <c r="AG589" s="1511"/>
      <c r="AH589" s="1511"/>
      <c r="AI589" s="1511"/>
      <c r="AJ589" s="1511"/>
      <c r="AK589" s="151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 customHeight="1">
      <c r="A590" s="22"/>
      <c r="B590" t="s">
        <v>86</v>
      </c>
      <c r="G590" s="1395" t="s">
        <v>2642</v>
      </c>
      <c r="H590" s="1395"/>
      <c r="I590" s="1395"/>
      <c r="J590" s="1395"/>
      <c r="K590" s="1395"/>
      <c r="L590" s="1395"/>
      <c r="M590" s="1395"/>
      <c r="N590" s="1395"/>
      <c r="O590" s="1395"/>
      <c r="P590" s="1395"/>
      <c r="Q590" s="1395"/>
      <c r="R590" s="1395"/>
      <c r="T590" s="22"/>
      <c r="U590" t="s">
        <v>86</v>
      </c>
      <c r="Z590" s="1395"/>
      <c r="AA590" s="1395"/>
      <c r="AB590" s="1395"/>
      <c r="AC590" s="1395"/>
      <c r="AD590" s="1395"/>
      <c r="AE590" s="1395"/>
      <c r="AF590" s="1395"/>
      <c r="AG590" s="1395"/>
      <c r="AH590" s="1395"/>
      <c r="AI590" s="1395"/>
      <c r="AJ590" s="1395"/>
      <c r="AK590" s="139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 customHeight="1">
      <c r="A591" s="22"/>
      <c r="B591" t="s">
        <v>590</v>
      </c>
      <c r="G591" s="1395" t="s">
        <v>2661</v>
      </c>
      <c r="H591" s="1395"/>
      <c r="I591" s="1395"/>
      <c r="J591" s="1395"/>
      <c r="K591" s="1395"/>
      <c r="L591" s="1395"/>
      <c r="M591" s="1395"/>
      <c r="N591" s="1395"/>
      <c r="O591" s="1395"/>
      <c r="P591" s="1395"/>
      <c r="Q591" s="1395"/>
      <c r="R591" s="1395"/>
      <c r="T591" s="22"/>
      <c r="U591" t="s">
        <v>590</v>
      </c>
      <c r="Z591" s="1367"/>
      <c r="AA591" s="1367"/>
      <c r="AB591" s="1367"/>
      <c r="AC591" s="1367"/>
      <c r="AD591" s="1367"/>
      <c r="AE591" s="1367"/>
      <c r="AF591" s="1367"/>
      <c r="AG591" s="1367"/>
      <c r="AH591" s="1367"/>
      <c r="AI591" s="1367"/>
      <c r="AJ591" s="1367"/>
      <c r="AK591" s="1367"/>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 customHeight="1">
      <c r="A592" s="22"/>
      <c r="B592" t="s">
        <v>17</v>
      </c>
      <c r="G592" s="1395" t="s">
        <v>2644</v>
      </c>
      <c r="H592" s="1395"/>
      <c r="I592" s="1395"/>
      <c r="J592" s="1395"/>
      <c r="K592" s="1395"/>
      <c r="L592" s="1395"/>
      <c r="M592" s="1395"/>
      <c r="N592" s="1395"/>
      <c r="O592" s="1395"/>
      <c r="P592" s="1395"/>
      <c r="Q592" s="1395"/>
      <c r="R592" s="1395"/>
      <c r="T592" s="22"/>
      <c r="U592" t="s">
        <v>17</v>
      </c>
      <c r="Z592" s="1367"/>
      <c r="AA592" s="1367"/>
      <c r="AB592" s="1367"/>
      <c r="AC592" s="1367"/>
      <c r="AD592" s="1367"/>
      <c r="AE592" s="1367"/>
      <c r="AF592" s="1367"/>
      <c r="AG592" s="1367"/>
      <c r="AH592" s="1367"/>
      <c r="AI592" s="1367"/>
      <c r="AJ592" s="1367"/>
      <c r="AK592" s="1367"/>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 customHeight="1">
      <c r="A593" s="22"/>
      <c r="B593" t="s">
        <v>318</v>
      </c>
      <c r="C593"/>
      <c r="D593"/>
      <c r="E593"/>
      <c r="F593"/>
      <c r="G593" s="1436" t="s">
        <v>2645</v>
      </c>
      <c r="H593" s="1436"/>
      <c r="I593" s="1436"/>
      <c r="J593" s="1436"/>
      <c r="K593" s="1436"/>
      <c r="L593" s="1436"/>
      <c r="M593"/>
      <c r="N593"/>
      <c r="O593" s="33" t="s">
        <v>208</v>
      </c>
      <c r="P593" s="1462"/>
      <c r="Q593" s="1462"/>
      <c r="R593" s="1462"/>
      <c r="S593"/>
      <c r="T593" s="22"/>
      <c r="U593" t="s">
        <v>318</v>
      </c>
      <c r="V593"/>
      <c r="W593"/>
      <c r="X593"/>
      <c r="Y593"/>
      <c r="Z593" s="1436"/>
      <c r="AA593" s="1436"/>
      <c r="AB593" s="1436"/>
      <c r="AC593" s="1436"/>
      <c r="AD593" s="1436"/>
      <c r="AE593" s="1436"/>
      <c r="AF593"/>
      <c r="AG593"/>
      <c r="AH593" s="33" t="s">
        <v>208</v>
      </c>
      <c r="AI593" s="1462"/>
      <c r="AJ593" s="1462"/>
      <c r="AK593" s="1462"/>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 customHeight="1">
      <c r="A594" s="22"/>
      <c r="B594" t="s">
        <v>18</v>
      </c>
      <c r="C594"/>
      <c r="D594"/>
      <c r="E594"/>
      <c r="F594"/>
      <c r="G594"/>
      <c r="H594" s="1510" t="s">
        <v>2689</v>
      </c>
      <c r="I594" s="1395"/>
      <c r="J594" s="1395"/>
      <c r="K594" s="1395"/>
      <c r="L594" s="1395"/>
      <c r="M594" s="1395"/>
      <c r="N594" s="1395"/>
      <c r="O594" s="1395"/>
      <c r="P594" s="1395"/>
      <c r="Q594" s="1395"/>
      <c r="R594" s="1395"/>
      <c r="S594"/>
      <c r="T594" s="22"/>
      <c r="U594" t="s">
        <v>18</v>
      </c>
      <c r="V594"/>
      <c r="W594"/>
      <c r="X594"/>
      <c r="Y594"/>
      <c r="Z594"/>
      <c r="AA594" s="1395"/>
      <c r="AB594" s="1395"/>
      <c r="AC594" s="1395"/>
      <c r="AD594" s="1395"/>
      <c r="AE594" s="1395"/>
      <c r="AF594" s="1395"/>
      <c r="AG594" s="1395"/>
      <c r="AH594" s="1395"/>
      <c r="AI594" s="1395"/>
      <c r="AJ594" s="1395"/>
      <c r="AK594" s="139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2104</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 customHeight="1">
      <c r="A595" s="22"/>
      <c r="B595" t="s">
        <v>20</v>
      </c>
      <c r="C595"/>
      <c r="D595"/>
      <c r="E595"/>
      <c r="F595"/>
      <c r="G595"/>
      <c r="H595"/>
      <c r="I595"/>
      <c r="J595"/>
      <c r="K595"/>
      <c r="L595"/>
      <c r="M595"/>
      <c r="N595" s="1374" t="s">
        <v>555</v>
      </c>
      <c r="O595" s="1374"/>
      <c r="P595"/>
      <c r="Q595"/>
      <c r="R595"/>
      <c r="S595"/>
      <c r="T595" s="22"/>
      <c r="U595" t="s">
        <v>20</v>
      </c>
      <c r="V595"/>
      <c r="W595"/>
      <c r="X595"/>
      <c r="Y595"/>
      <c r="Z595"/>
      <c r="AA595"/>
      <c r="AB595"/>
      <c r="AC595"/>
      <c r="AD595"/>
      <c r="AE595"/>
      <c r="AF595"/>
      <c r="AG595" s="1374" t="s">
        <v>679</v>
      </c>
      <c r="AH595" s="1374"/>
      <c r="AI595"/>
      <c r="AJ595"/>
      <c r="AK595"/>
      <c r="AL595"/>
      <c r="AM595"/>
      <c r="AN595"/>
      <c r="AO595"/>
      <c r="AP595"/>
      <c r="AQ595"/>
      <c r="AR595"/>
      <c r="AS595"/>
      <c r="AT595"/>
      <c r="AU595"/>
      <c r="AV595"/>
      <c r="AW595"/>
      <c r="AX595"/>
      <c r="AY595"/>
      <c r="BA595" s="4" t="s">
        <v>326</v>
      </c>
      <c r="BB595" s="3"/>
      <c r="BC595" s="3"/>
      <c r="BD595" s="3"/>
      <c r="BE595" s="121" t="s">
        <v>484</v>
      </c>
      <c r="BF595" s="122"/>
      <c r="BG595" s="1494"/>
      <c r="BH595" s="1495"/>
      <c r="BI595" s="121" t="s">
        <v>485</v>
      </c>
      <c r="BJ595" s="122"/>
      <c r="BK595" s="1494"/>
      <c r="BL595" s="1495"/>
      <c r="BM595" s="3"/>
      <c r="BN595" s="1709" t="s">
        <v>643</v>
      </c>
      <c r="BO595" s="1710"/>
      <c r="BP595" s="1710"/>
      <c r="BQ595" s="1710"/>
      <c r="BR595" s="1711"/>
      <c r="BS595" s="1509" t="s">
        <v>327</v>
      </c>
      <c r="BT595" s="1509"/>
      <c r="BU595" s="1509"/>
      <c r="BV595" s="1509"/>
      <c r="BW595" s="1509"/>
      <c r="BX595" s="1509" t="s">
        <v>164</v>
      </c>
      <c r="BY595" s="1509"/>
      <c r="BZ595" s="1509"/>
      <c r="CA595" s="1509"/>
      <c r="CB595" s="1509"/>
      <c r="CC595" s="1509" t="s">
        <v>165</v>
      </c>
      <c r="CD595" s="1509"/>
      <c r="CE595" s="1509"/>
      <c r="CF595" s="1509"/>
      <c r="CG595" s="1509"/>
      <c r="CH595" s="1509" t="s">
        <v>470</v>
      </c>
      <c r="CI595" s="1509"/>
      <c r="CJ595" s="1509"/>
      <c r="CK595" s="1509"/>
      <c r="CL595" s="1509"/>
      <c r="CM595" s="1509" t="s">
        <v>30</v>
      </c>
      <c r="CN595" s="1509"/>
      <c r="CO595" s="1509"/>
      <c r="CP595" s="1509"/>
      <c r="CQ595" s="1509"/>
      <c r="CR595" s="89"/>
      <c r="CS595" s="1509" t="s">
        <v>643</v>
      </c>
      <c r="CT595" s="1509"/>
      <c r="CU595" s="1509"/>
      <c r="CV595" s="1509"/>
      <c r="CW595" s="1509"/>
      <c r="CX595" s="1509" t="s">
        <v>327</v>
      </c>
      <c r="CY595" s="1509"/>
      <c r="CZ595" s="1509"/>
      <c r="DA595" s="1509"/>
      <c r="DB595" s="1509"/>
      <c r="DC595" s="1509" t="s">
        <v>164</v>
      </c>
      <c r="DD595" s="1509"/>
      <c r="DE595" s="1509"/>
      <c r="DF595" s="1509"/>
      <c r="DG595" s="1509"/>
      <c r="DH595" s="1509" t="s">
        <v>165</v>
      </c>
      <c r="DI595" s="1509"/>
      <c r="DJ595" s="1509"/>
      <c r="DK595" s="1509"/>
      <c r="DL595" s="1509"/>
      <c r="DM595" s="1509" t="s">
        <v>470</v>
      </c>
      <c r="DN595" s="1509"/>
      <c r="DO595" s="1509"/>
      <c r="DP595" s="1509"/>
      <c r="DQ595" s="1509"/>
      <c r="DR595" s="1509" t="s">
        <v>30</v>
      </c>
      <c r="DS595" s="1509"/>
      <c r="DT595" s="1509"/>
      <c r="DU595" s="1509"/>
      <c r="DV595" s="1509"/>
      <c r="DX595" s="1509" t="s">
        <v>643</v>
      </c>
      <c r="DY595" s="1509"/>
      <c r="DZ595" s="1509"/>
      <c r="EA595" s="1509"/>
      <c r="EB595" s="1509"/>
      <c r="EC595" s="1509" t="s">
        <v>327</v>
      </c>
      <c r="ED595" s="1509"/>
      <c r="EE595" s="1509"/>
      <c r="EF595" s="1509"/>
      <c r="EG595" s="1509"/>
      <c r="EH595" s="1509" t="s">
        <v>164</v>
      </c>
      <c r="EI595" s="1509"/>
      <c r="EJ595" s="1509"/>
      <c r="EK595" s="1509"/>
      <c r="EL595" s="1509"/>
      <c r="EM595" s="1509" t="s">
        <v>165</v>
      </c>
      <c r="EN595" s="1509"/>
      <c r="EO595" s="1509"/>
      <c r="EP595" s="1509"/>
      <c r="EQ595" s="1509"/>
      <c r="ER595" s="1509" t="s">
        <v>470</v>
      </c>
      <c r="ES595" s="1509"/>
      <c r="ET595" s="1509"/>
      <c r="EU595" s="1509"/>
      <c r="EV595" s="1509"/>
      <c r="EW595" s="1509" t="s">
        <v>30</v>
      </c>
      <c r="EX595" s="1509"/>
      <c r="EY595" s="1509"/>
      <c r="EZ595" s="1509"/>
      <c r="FA595" s="1509"/>
    </row>
    <row r="596" spans="1:157" s="4" customFormat="1" ht="12.9"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0">
        <f t="shared" ref="BE596:BE620" si="1">IF(AND(AC714&lt;=0.5,AC714&gt;=0.36),1,0)</f>
        <v>0</v>
      </c>
      <c r="BF596" s="1421"/>
      <c r="BG596" s="1494">
        <f t="shared" ref="BG596:BG620" si="2">IF(BE596=1,G714,0)</f>
        <v>0</v>
      </c>
      <c r="BH596" s="1495"/>
      <c r="BI596" s="1420">
        <f t="shared" ref="BI596:BI620" si="3">IF(AND(AC714&lt;=0.35,AC714&gt;0),1,0)</f>
        <v>1</v>
      </c>
      <c r="BJ596" s="1421"/>
      <c r="BK596" s="1494">
        <f t="shared" ref="BK596:BK620" si="4">IF(BI596=1,G714,0)</f>
        <v>11</v>
      </c>
      <c r="BL596" s="1495"/>
      <c r="BM596" s="3"/>
      <c r="BN596" s="1505">
        <f t="shared" ref="BN596:BN620" si="5">IF(B714="SRO/Studio",G714,0)</f>
        <v>0</v>
      </c>
      <c r="BO596" s="1506"/>
      <c r="BP596" s="1506"/>
      <c r="BQ596" s="1506"/>
      <c r="BR596" s="1507"/>
      <c r="BS596" s="1396">
        <f t="shared" ref="BS596:BS620" si="6">IF(B714="1 Bedroom",G714,0)</f>
        <v>11</v>
      </c>
      <c r="BT596" s="1396"/>
      <c r="BU596" s="1396"/>
      <c r="BV596" s="1396"/>
      <c r="BW596" s="1396"/>
      <c r="BX596" s="1396">
        <f t="shared" ref="BX596:BX620" si="7">IF(B714="2 Bedrooms",G714,0)</f>
        <v>0</v>
      </c>
      <c r="BY596" s="1396"/>
      <c r="BZ596" s="1396"/>
      <c r="CA596" s="1396"/>
      <c r="CB596" s="1396"/>
      <c r="CC596" s="1396">
        <f t="shared" ref="CC596:CC620" si="8">IF(B714="3 Bedrooms",G714,0)</f>
        <v>0</v>
      </c>
      <c r="CD596" s="1396"/>
      <c r="CE596" s="1396"/>
      <c r="CF596" s="1396"/>
      <c r="CG596" s="1396"/>
      <c r="CH596" s="1396">
        <f t="shared" ref="CH596:CH620" si="9">IF(B714="4 Bedrooms",G714,0)</f>
        <v>0</v>
      </c>
      <c r="CI596" s="1396"/>
      <c r="CJ596" s="1396"/>
      <c r="CK596" s="1396"/>
      <c r="CL596" s="1396"/>
      <c r="CM596" s="1396">
        <f t="shared" ref="CM596:CM620" si="10">IF(B714="5 Bedrooms",G714,0)</f>
        <v>0</v>
      </c>
      <c r="CN596" s="1396"/>
      <c r="CO596" s="1396"/>
      <c r="CP596" s="1396"/>
      <c r="CQ596" s="1396"/>
      <c r="CR596" s="6"/>
      <c r="CS596" s="1713">
        <f t="shared" ref="CS596:CS620" si="11">IF(AND(B714="SRO/Studio",AC714&lt;=0.3),G714,0)</f>
        <v>0</v>
      </c>
      <c r="CT596" s="1713"/>
      <c r="CU596" s="1713"/>
      <c r="CV596" s="1713"/>
      <c r="CW596" s="1713"/>
      <c r="CX596" s="1713">
        <f t="shared" ref="CX596:CX620" si="12">IF(AND(B714="1 Bedroom",AC714&lt;=0.3),G714,0)</f>
        <v>11</v>
      </c>
      <c r="CY596" s="1713"/>
      <c r="CZ596" s="1713"/>
      <c r="DA596" s="1713"/>
      <c r="DB596" s="1713"/>
      <c r="DC596" s="1713">
        <f t="shared" ref="DC596:DC620" si="13">IF(AND(B714="2 Bedrooms",AC714&lt;=0.3),G714,0)</f>
        <v>0</v>
      </c>
      <c r="DD596" s="1713"/>
      <c r="DE596" s="1713"/>
      <c r="DF596" s="1713"/>
      <c r="DG596" s="1713"/>
      <c r="DH596" s="1713">
        <f t="shared" ref="DH596:DH620" si="14">IF(AND(B714="3 Bedrooms",AC714&lt;=0.3),G714,0)</f>
        <v>0</v>
      </c>
      <c r="DI596" s="1713"/>
      <c r="DJ596" s="1713"/>
      <c r="DK596" s="1713"/>
      <c r="DL596" s="1713"/>
      <c r="DM596" s="1713">
        <f t="shared" ref="DM596:DM620" si="15">IF(AND(B714="4 Bedrooms",AC714&lt;=0.3),G714,0)</f>
        <v>0</v>
      </c>
      <c r="DN596" s="1713"/>
      <c r="DO596" s="1713"/>
      <c r="DP596" s="1713"/>
      <c r="DQ596" s="1713"/>
      <c r="DR596" s="1713">
        <f t="shared" ref="DR596:DR620" si="16">IF(AND(B714="5 Bedrooms",AC714&lt;=0.3),G714,0)</f>
        <v>0</v>
      </c>
      <c r="DS596" s="1713"/>
      <c r="DT596" s="1713"/>
      <c r="DU596" s="1713"/>
      <c r="DV596" s="1713"/>
      <c r="DX596" s="1420" t="str">
        <f t="shared" ref="DX596:DX620" si="17">IF(BN596&gt;0,O714," ")</f>
        <v xml:space="preserve"> </v>
      </c>
      <c r="DY596" s="1843"/>
      <c r="DZ596" s="1843"/>
      <c r="EA596" s="1843"/>
      <c r="EB596" s="1421"/>
      <c r="EC596" s="1420">
        <f t="shared" ref="EC596:EC620" si="18">IF(BS596&gt;0,O714," ")</f>
        <v>775</v>
      </c>
      <c r="ED596" s="1843"/>
      <c r="EE596" s="1843"/>
      <c r="EF596" s="1843"/>
      <c r="EG596" s="1421"/>
      <c r="EH596" s="1420" t="str">
        <f t="shared" ref="EH596:EH620" si="19">IF(BX596&gt;0,O714," ")</f>
        <v xml:space="preserve"> </v>
      </c>
      <c r="EI596" s="1843"/>
      <c r="EJ596" s="1843"/>
      <c r="EK596" s="1843"/>
      <c r="EL596" s="1421"/>
      <c r="EM596" s="1420" t="str">
        <f t="shared" ref="EM596:EM620" si="20">IF(CC596&gt;0,O714," ")</f>
        <v xml:space="preserve"> </v>
      </c>
      <c r="EN596" s="1843"/>
      <c r="EO596" s="1843"/>
      <c r="EP596" s="1843"/>
      <c r="EQ596" s="1421"/>
      <c r="ER596" s="1420" t="str">
        <f t="shared" ref="ER596:ER620" si="21">IF(CH596&gt;0,O714," ")</f>
        <v xml:space="preserve"> </v>
      </c>
      <c r="ES596" s="1843"/>
      <c r="ET596" s="1843"/>
      <c r="EU596" s="1843"/>
      <c r="EV596" s="1421"/>
      <c r="EW596" s="1420" t="str">
        <f t="shared" ref="EW596:EW620" si="22">IF(CM596&gt;0,O714," ")</f>
        <v xml:space="preserve"> </v>
      </c>
      <c r="EX596" s="1843"/>
      <c r="EY596" s="1843"/>
      <c r="EZ596" s="1843"/>
      <c r="FA596" s="1421"/>
    </row>
    <row r="597" spans="1:157" s="4" customFormat="1" ht="12.9" customHeight="1">
      <c r="A597" s="55" t="s">
        <v>471</v>
      </c>
      <c r="B597" t="s">
        <v>473</v>
      </c>
      <c r="C597"/>
      <c r="D597"/>
      <c r="E597"/>
      <c r="F597"/>
      <c r="G597" s="1511">
        <f>C558</f>
        <v>0</v>
      </c>
      <c r="H597" s="1511"/>
      <c r="I597" s="1511"/>
      <c r="J597" s="1511"/>
      <c r="K597" s="1511"/>
      <c r="L597" s="1511"/>
      <c r="M597" s="1511"/>
      <c r="N597" s="1511"/>
      <c r="O597" s="1511"/>
      <c r="P597" s="1511"/>
      <c r="Q597" s="1511"/>
      <c r="R597" s="1511"/>
      <c r="S597"/>
      <c r="T597" s="55" t="s">
        <v>656</v>
      </c>
      <c r="U597" t="s">
        <v>473</v>
      </c>
      <c r="V597"/>
      <c r="W597"/>
      <c r="X597"/>
      <c r="Y597"/>
      <c r="Z597" s="1511">
        <f>C559</f>
        <v>0</v>
      </c>
      <c r="AA597" s="1511"/>
      <c r="AB597" s="1511"/>
      <c r="AC597" s="1511"/>
      <c r="AD597" s="1511"/>
      <c r="AE597" s="1511"/>
      <c r="AF597" s="1511"/>
      <c r="AG597" s="1511"/>
      <c r="AH597" s="1511"/>
      <c r="AI597" s="1511"/>
      <c r="AJ597" s="1511"/>
      <c r="AK597" s="1511"/>
      <c r="AL597"/>
      <c r="AM597"/>
      <c r="AN597"/>
      <c r="AO597"/>
      <c r="AP597"/>
      <c r="AQ597"/>
      <c r="AR597"/>
      <c r="AS597"/>
      <c r="AT597"/>
      <c r="AU597"/>
      <c r="AV597"/>
      <c r="AW597"/>
      <c r="AX597"/>
      <c r="AY597"/>
      <c r="BA597" s="4" t="s">
        <v>164</v>
      </c>
      <c r="BB597" s="3"/>
      <c r="BC597" s="3"/>
      <c r="BD597" s="3"/>
      <c r="BE597" s="1420">
        <f t="shared" si="1"/>
        <v>1</v>
      </c>
      <c r="BF597" s="1421"/>
      <c r="BG597" s="1494">
        <f t="shared" si="2"/>
        <v>11</v>
      </c>
      <c r="BH597" s="1495"/>
      <c r="BI597" s="1420">
        <f t="shared" si="3"/>
        <v>0</v>
      </c>
      <c r="BJ597" s="1421"/>
      <c r="BK597" s="1494">
        <f t="shared" si="4"/>
        <v>0</v>
      </c>
      <c r="BL597" s="1495"/>
      <c r="BM597" s="3"/>
      <c r="BN597" s="1505">
        <f t="shared" si="5"/>
        <v>0</v>
      </c>
      <c r="BO597" s="1506"/>
      <c r="BP597" s="1506"/>
      <c r="BQ597" s="1506"/>
      <c r="BR597" s="1507"/>
      <c r="BS597" s="1396">
        <f t="shared" si="6"/>
        <v>11</v>
      </c>
      <c r="BT597" s="1396"/>
      <c r="BU597" s="1396"/>
      <c r="BV597" s="1396"/>
      <c r="BW597" s="1396"/>
      <c r="BX597" s="1396">
        <f t="shared" si="7"/>
        <v>0</v>
      </c>
      <c r="BY597" s="1396"/>
      <c r="BZ597" s="1396"/>
      <c r="CA597" s="1396"/>
      <c r="CB597" s="1396"/>
      <c r="CC597" s="1396">
        <f t="shared" si="8"/>
        <v>0</v>
      </c>
      <c r="CD597" s="1396"/>
      <c r="CE597" s="1396"/>
      <c r="CF597" s="1396"/>
      <c r="CG597" s="1396"/>
      <c r="CH597" s="1396">
        <f t="shared" si="9"/>
        <v>0</v>
      </c>
      <c r="CI597" s="1396"/>
      <c r="CJ597" s="1396"/>
      <c r="CK597" s="1396"/>
      <c r="CL597" s="1396"/>
      <c r="CM597" s="1396">
        <f t="shared" si="10"/>
        <v>0</v>
      </c>
      <c r="CN597" s="1396"/>
      <c r="CO597" s="1396"/>
      <c r="CP597" s="1396"/>
      <c r="CQ597" s="1396"/>
      <c r="CR597" s="6"/>
      <c r="CS597" s="1713">
        <f t="shared" si="11"/>
        <v>0</v>
      </c>
      <c r="CT597" s="1713"/>
      <c r="CU597" s="1713"/>
      <c r="CV597" s="1713"/>
      <c r="CW597" s="1713"/>
      <c r="CX597" s="1713">
        <f t="shared" si="12"/>
        <v>0</v>
      </c>
      <c r="CY597" s="1713"/>
      <c r="CZ597" s="1713"/>
      <c r="DA597" s="1713"/>
      <c r="DB597" s="1713"/>
      <c r="DC597" s="1713">
        <f t="shared" si="13"/>
        <v>0</v>
      </c>
      <c r="DD597" s="1713"/>
      <c r="DE597" s="1713"/>
      <c r="DF597" s="1713"/>
      <c r="DG597" s="1713"/>
      <c r="DH597" s="1713">
        <f t="shared" si="14"/>
        <v>0</v>
      </c>
      <c r="DI597" s="1713"/>
      <c r="DJ597" s="1713"/>
      <c r="DK597" s="1713"/>
      <c r="DL597" s="1713"/>
      <c r="DM597" s="1713">
        <f t="shared" si="15"/>
        <v>0</v>
      </c>
      <c r="DN597" s="1713"/>
      <c r="DO597" s="1713"/>
      <c r="DP597" s="1713"/>
      <c r="DQ597" s="1713"/>
      <c r="DR597" s="1713">
        <f t="shared" si="16"/>
        <v>0</v>
      </c>
      <c r="DS597" s="1713"/>
      <c r="DT597" s="1713"/>
      <c r="DU597" s="1713"/>
      <c r="DV597" s="1713"/>
      <c r="DX597" s="1420" t="str">
        <f t="shared" si="17"/>
        <v xml:space="preserve"> </v>
      </c>
      <c r="DY597" s="1843"/>
      <c r="DZ597" s="1843"/>
      <c r="EA597" s="1843"/>
      <c r="EB597" s="1421"/>
      <c r="EC597" s="1420">
        <f t="shared" si="18"/>
        <v>1292</v>
      </c>
      <c r="ED597" s="1843"/>
      <c r="EE597" s="1843"/>
      <c r="EF597" s="1843"/>
      <c r="EG597" s="1421"/>
      <c r="EH597" s="1420" t="str">
        <f t="shared" si="19"/>
        <v xml:space="preserve"> </v>
      </c>
      <c r="EI597" s="1843"/>
      <c r="EJ597" s="1843"/>
      <c r="EK597" s="1843"/>
      <c r="EL597" s="1421"/>
      <c r="EM597" s="1420" t="str">
        <f t="shared" si="20"/>
        <v xml:space="preserve"> </v>
      </c>
      <c r="EN597" s="1843"/>
      <c r="EO597" s="1843"/>
      <c r="EP597" s="1843"/>
      <c r="EQ597" s="1421"/>
      <c r="ER597" s="1420" t="str">
        <f t="shared" si="21"/>
        <v xml:space="preserve"> </v>
      </c>
      <c r="ES597" s="1843"/>
      <c r="ET597" s="1843"/>
      <c r="EU597" s="1843"/>
      <c r="EV597" s="1421"/>
      <c r="EW597" s="1420" t="str">
        <f t="shared" si="22"/>
        <v xml:space="preserve"> </v>
      </c>
      <c r="EX597" s="1843"/>
      <c r="EY597" s="1843"/>
      <c r="EZ597" s="1843"/>
      <c r="FA597" s="1421"/>
    </row>
    <row r="598" spans="1:157" ht="12.9" customHeight="1">
      <c r="A598" s="22"/>
      <c r="B598" t="s">
        <v>86</v>
      </c>
      <c r="G598" s="1395"/>
      <c r="H598" s="1395"/>
      <c r="I598" s="1395"/>
      <c r="J598" s="1395"/>
      <c r="K598" s="1395"/>
      <c r="L598" s="1395"/>
      <c r="M598" s="1395"/>
      <c r="N598" s="1395"/>
      <c r="O598" s="1395"/>
      <c r="P598" s="1395"/>
      <c r="Q598" s="1395"/>
      <c r="R598" s="1395"/>
      <c r="T598" s="22"/>
      <c r="U598" t="s">
        <v>86</v>
      </c>
      <c r="Z598" s="1395"/>
      <c r="AA598" s="1395"/>
      <c r="AB598" s="1395"/>
      <c r="AC598" s="1395"/>
      <c r="AD598" s="1395"/>
      <c r="AE598" s="1395"/>
      <c r="AF598" s="1395"/>
      <c r="AG598" s="1395"/>
      <c r="AH598" s="1395"/>
      <c r="AI598" s="1395"/>
      <c r="AJ598" s="1395"/>
      <c r="AK598" s="1395"/>
      <c r="BA598" s="4" t="s">
        <v>165</v>
      </c>
      <c r="BB598" s="3"/>
      <c r="BC598" s="3"/>
      <c r="BD598" s="3"/>
      <c r="BE598" s="1420">
        <f t="shared" si="1"/>
        <v>0</v>
      </c>
      <c r="BF598" s="1421"/>
      <c r="BG598" s="1494">
        <f t="shared" si="2"/>
        <v>0</v>
      </c>
      <c r="BH598" s="1495"/>
      <c r="BI598" s="1420">
        <f t="shared" si="3"/>
        <v>0</v>
      </c>
      <c r="BJ598" s="1421"/>
      <c r="BK598" s="1494">
        <f t="shared" si="4"/>
        <v>0</v>
      </c>
      <c r="BL598" s="1495"/>
      <c r="BM598" s="3"/>
      <c r="BN598" s="1505">
        <f t="shared" si="5"/>
        <v>0</v>
      </c>
      <c r="BO598" s="1506"/>
      <c r="BP598" s="1506"/>
      <c r="BQ598" s="1506"/>
      <c r="BR598" s="1507"/>
      <c r="BS598" s="1396">
        <f t="shared" si="6"/>
        <v>83</v>
      </c>
      <c r="BT598" s="1396"/>
      <c r="BU598" s="1396"/>
      <c r="BV598" s="1396"/>
      <c r="BW598" s="1396"/>
      <c r="BX598" s="1396">
        <f t="shared" si="7"/>
        <v>0</v>
      </c>
      <c r="BY598" s="1396"/>
      <c r="BZ598" s="1396"/>
      <c r="CA598" s="1396"/>
      <c r="CB598" s="1396"/>
      <c r="CC598" s="1396">
        <f t="shared" si="8"/>
        <v>0</v>
      </c>
      <c r="CD598" s="1396"/>
      <c r="CE598" s="1396"/>
      <c r="CF598" s="1396"/>
      <c r="CG598" s="1396"/>
      <c r="CH598" s="1396">
        <f t="shared" si="9"/>
        <v>0</v>
      </c>
      <c r="CI598" s="1396"/>
      <c r="CJ598" s="1396"/>
      <c r="CK598" s="1396"/>
      <c r="CL598" s="1396"/>
      <c r="CM598" s="1396">
        <f t="shared" si="10"/>
        <v>0</v>
      </c>
      <c r="CN598" s="1396"/>
      <c r="CO598" s="1396"/>
      <c r="CP598" s="1396"/>
      <c r="CQ598" s="1396"/>
      <c r="CR598" s="6"/>
      <c r="CS598" s="1713">
        <f t="shared" si="11"/>
        <v>0</v>
      </c>
      <c r="CT598" s="1713"/>
      <c r="CU598" s="1713"/>
      <c r="CV598" s="1713"/>
      <c r="CW598" s="1713"/>
      <c r="CX598" s="1713">
        <f t="shared" si="12"/>
        <v>0</v>
      </c>
      <c r="CY598" s="1713"/>
      <c r="CZ598" s="1713"/>
      <c r="DA598" s="1713"/>
      <c r="DB598" s="1713"/>
      <c r="DC598" s="1713">
        <f t="shared" si="13"/>
        <v>0</v>
      </c>
      <c r="DD598" s="1713"/>
      <c r="DE598" s="1713"/>
      <c r="DF598" s="1713"/>
      <c r="DG598" s="1713"/>
      <c r="DH598" s="1713">
        <f t="shared" si="14"/>
        <v>0</v>
      </c>
      <c r="DI598" s="1713"/>
      <c r="DJ598" s="1713"/>
      <c r="DK598" s="1713"/>
      <c r="DL598" s="1713"/>
      <c r="DM598" s="1713">
        <f t="shared" si="15"/>
        <v>0</v>
      </c>
      <c r="DN598" s="1713"/>
      <c r="DO598" s="1713"/>
      <c r="DP598" s="1713"/>
      <c r="DQ598" s="1713"/>
      <c r="DR598" s="1713">
        <f t="shared" si="16"/>
        <v>0</v>
      </c>
      <c r="DS598" s="1713"/>
      <c r="DT598" s="1713"/>
      <c r="DU598" s="1713"/>
      <c r="DV598" s="1713"/>
      <c r="DX598" s="1420" t="str">
        <f t="shared" si="17"/>
        <v xml:space="preserve"> </v>
      </c>
      <c r="DY598" s="1843"/>
      <c r="DZ598" s="1843"/>
      <c r="EA598" s="1843"/>
      <c r="EB598" s="1421"/>
      <c r="EC598" s="1420">
        <f t="shared" si="18"/>
        <v>1551</v>
      </c>
      <c r="ED598" s="1843"/>
      <c r="EE598" s="1843"/>
      <c r="EF598" s="1843"/>
      <c r="EG598" s="1421"/>
      <c r="EH598" s="1420" t="str">
        <f t="shared" si="19"/>
        <v xml:space="preserve"> </v>
      </c>
      <c r="EI598" s="1843"/>
      <c r="EJ598" s="1843"/>
      <c r="EK598" s="1843"/>
      <c r="EL598" s="1421"/>
      <c r="EM598" s="1420" t="str">
        <f t="shared" si="20"/>
        <v xml:space="preserve"> </v>
      </c>
      <c r="EN598" s="1843"/>
      <c r="EO598" s="1843"/>
      <c r="EP598" s="1843"/>
      <c r="EQ598" s="1421"/>
      <c r="ER598" s="1420" t="str">
        <f t="shared" si="21"/>
        <v xml:space="preserve"> </v>
      </c>
      <c r="ES598" s="1843"/>
      <c r="ET598" s="1843"/>
      <c r="EU598" s="1843"/>
      <c r="EV598" s="1421"/>
      <c r="EW598" s="1420" t="str">
        <f t="shared" si="22"/>
        <v xml:space="preserve"> </v>
      </c>
      <c r="EX598" s="1843"/>
      <c r="EY598" s="1843"/>
      <c r="EZ598" s="1843"/>
      <c r="FA598" s="1421"/>
    </row>
    <row r="599" spans="1:157" ht="12.9" customHeight="1">
      <c r="A599" s="22"/>
      <c r="B599" t="s">
        <v>590</v>
      </c>
      <c r="G599" s="1395"/>
      <c r="H599" s="1395"/>
      <c r="I599" s="1395"/>
      <c r="J599" s="1395"/>
      <c r="K599" s="1395"/>
      <c r="L599" s="1395"/>
      <c r="M599" s="1395"/>
      <c r="N599" s="1395"/>
      <c r="O599" s="1395"/>
      <c r="P599" s="1395"/>
      <c r="Q599" s="1395"/>
      <c r="R599" s="1395"/>
      <c r="T599" s="22"/>
      <c r="U599" t="s">
        <v>590</v>
      </c>
      <c r="Z599" s="1367"/>
      <c r="AA599" s="1367"/>
      <c r="AB599" s="1367"/>
      <c r="AC599" s="1367"/>
      <c r="AD599" s="1367"/>
      <c r="AE599" s="1367"/>
      <c r="AF599" s="1367"/>
      <c r="AG599" s="1367"/>
      <c r="AH599" s="1367"/>
      <c r="AI599" s="1367"/>
      <c r="AJ599" s="1367"/>
      <c r="AK599" s="1367"/>
      <c r="BA599" s="4" t="s">
        <v>166</v>
      </c>
      <c r="BB599" s="3"/>
      <c r="BC599" s="3"/>
      <c r="BD599" s="3"/>
      <c r="BE599" s="1420">
        <f t="shared" si="1"/>
        <v>0</v>
      </c>
      <c r="BF599" s="1421"/>
      <c r="BG599" s="1494">
        <f t="shared" si="2"/>
        <v>0</v>
      </c>
      <c r="BH599" s="1495"/>
      <c r="BI599" s="1420">
        <f t="shared" si="3"/>
        <v>1</v>
      </c>
      <c r="BJ599" s="1421"/>
      <c r="BK599" s="1494">
        <f t="shared" si="4"/>
        <v>7</v>
      </c>
      <c r="BL599" s="1495"/>
      <c r="BM599" s="3"/>
      <c r="BN599" s="1505">
        <f t="shared" si="5"/>
        <v>0</v>
      </c>
      <c r="BO599" s="1506"/>
      <c r="BP599" s="1506"/>
      <c r="BQ599" s="1506"/>
      <c r="BR599" s="1507"/>
      <c r="BS599" s="1396">
        <f t="shared" si="6"/>
        <v>0</v>
      </c>
      <c r="BT599" s="1396"/>
      <c r="BU599" s="1396"/>
      <c r="BV599" s="1396"/>
      <c r="BW599" s="1396"/>
      <c r="BX599" s="1396">
        <f t="shared" si="7"/>
        <v>7</v>
      </c>
      <c r="BY599" s="1396"/>
      <c r="BZ599" s="1396"/>
      <c r="CA599" s="1396"/>
      <c r="CB599" s="1396"/>
      <c r="CC599" s="1396">
        <f t="shared" si="8"/>
        <v>0</v>
      </c>
      <c r="CD599" s="1396"/>
      <c r="CE599" s="1396"/>
      <c r="CF599" s="1396"/>
      <c r="CG599" s="1396"/>
      <c r="CH599" s="1396">
        <f t="shared" si="9"/>
        <v>0</v>
      </c>
      <c r="CI599" s="1396"/>
      <c r="CJ599" s="1396"/>
      <c r="CK599" s="1396"/>
      <c r="CL599" s="1396"/>
      <c r="CM599" s="1396">
        <f t="shared" si="10"/>
        <v>0</v>
      </c>
      <c r="CN599" s="1396"/>
      <c r="CO599" s="1396"/>
      <c r="CP599" s="1396"/>
      <c r="CQ599" s="1396"/>
      <c r="CR599" s="6"/>
      <c r="CS599" s="1713">
        <f t="shared" si="11"/>
        <v>0</v>
      </c>
      <c r="CT599" s="1713"/>
      <c r="CU599" s="1713"/>
      <c r="CV599" s="1713"/>
      <c r="CW599" s="1713"/>
      <c r="CX599" s="1713">
        <f t="shared" si="12"/>
        <v>0</v>
      </c>
      <c r="CY599" s="1713"/>
      <c r="CZ599" s="1713"/>
      <c r="DA599" s="1713"/>
      <c r="DB599" s="1713"/>
      <c r="DC599" s="1713">
        <f t="shared" si="13"/>
        <v>7</v>
      </c>
      <c r="DD599" s="1713"/>
      <c r="DE599" s="1713"/>
      <c r="DF599" s="1713"/>
      <c r="DG599" s="1713"/>
      <c r="DH599" s="1713">
        <f t="shared" si="14"/>
        <v>0</v>
      </c>
      <c r="DI599" s="1713"/>
      <c r="DJ599" s="1713"/>
      <c r="DK599" s="1713"/>
      <c r="DL599" s="1713"/>
      <c r="DM599" s="1713">
        <f t="shared" si="15"/>
        <v>0</v>
      </c>
      <c r="DN599" s="1713"/>
      <c r="DO599" s="1713"/>
      <c r="DP599" s="1713"/>
      <c r="DQ599" s="1713"/>
      <c r="DR599" s="1713">
        <f t="shared" si="16"/>
        <v>0</v>
      </c>
      <c r="DS599" s="1713"/>
      <c r="DT599" s="1713"/>
      <c r="DU599" s="1713"/>
      <c r="DV599" s="1713"/>
      <c r="DX599" s="1420" t="str">
        <f t="shared" si="17"/>
        <v xml:space="preserve"> </v>
      </c>
      <c r="DY599" s="1843"/>
      <c r="DZ599" s="1843"/>
      <c r="EA599" s="1843"/>
      <c r="EB599" s="1421"/>
      <c r="EC599" s="1420" t="str">
        <f t="shared" si="18"/>
        <v xml:space="preserve"> </v>
      </c>
      <c r="ED599" s="1843"/>
      <c r="EE599" s="1843"/>
      <c r="EF599" s="1843"/>
      <c r="EG599" s="1421"/>
      <c r="EH599" s="1420">
        <f t="shared" si="19"/>
        <v>930</v>
      </c>
      <c r="EI599" s="1843"/>
      <c r="EJ599" s="1843"/>
      <c r="EK599" s="1843"/>
      <c r="EL599" s="1421"/>
      <c r="EM599" s="1420" t="str">
        <f t="shared" si="20"/>
        <v xml:space="preserve"> </v>
      </c>
      <c r="EN599" s="1843"/>
      <c r="EO599" s="1843"/>
      <c r="EP599" s="1843"/>
      <c r="EQ599" s="1421"/>
      <c r="ER599" s="1420" t="str">
        <f t="shared" si="21"/>
        <v xml:space="preserve"> </v>
      </c>
      <c r="ES599" s="1843"/>
      <c r="ET599" s="1843"/>
      <c r="EU599" s="1843"/>
      <c r="EV599" s="1421"/>
      <c r="EW599" s="1420" t="str">
        <f t="shared" si="22"/>
        <v xml:space="preserve"> </v>
      </c>
      <c r="EX599" s="1843"/>
      <c r="EY599" s="1843"/>
      <c r="EZ599" s="1843"/>
      <c r="FA599" s="1421"/>
    </row>
    <row r="600" spans="1:157" ht="12.9" customHeight="1">
      <c r="A600" s="22"/>
      <c r="B600" t="s">
        <v>17</v>
      </c>
      <c r="G600" s="1395"/>
      <c r="H600" s="1395"/>
      <c r="I600" s="1395"/>
      <c r="J600" s="1395"/>
      <c r="K600" s="1395"/>
      <c r="L600" s="1395"/>
      <c r="M600" s="1395"/>
      <c r="N600" s="1395"/>
      <c r="O600" s="1395"/>
      <c r="P600" s="1395"/>
      <c r="Q600" s="1395"/>
      <c r="R600" s="1395"/>
      <c r="T600" s="22"/>
      <c r="U600" t="s">
        <v>17</v>
      </c>
      <c r="Z600" s="1367"/>
      <c r="AA600" s="1367"/>
      <c r="AB600" s="1367"/>
      <c r="AC600" s="1367"/>
      <c r="AD600" s="1367"/>
      <c r="AE600" s="1367"/>
      <c r="AF600" s="1367"/>
      <c r="AG600" s="1367"/>
      <c r="AH600" s="1367"/>
      <c r="AI600" s="1367"/>
      <c r="AJ600" s="1367"/>
      <c r="AK600" s="1367"/>
      <c r="BA600" s="4" t="s">
        <v>30</v>
      </c>
      <c r="BB600" s="3"/>
      <c r="BC600" s="3"/>
      <c r="BD600" s="3"/>
      <c r="BE600" s="1420">
        <f t="shared" si="1"/>
        <v>1</v>
      </c>
      <c r="BF600" s="1421"/>
      <c r="BG600" s="1494">
        <f t="shared" si="2"/>
        <v>7</v>
      </c>
      <c r="BH600" s="1495"/>
      <c r="BI600" s="1420">
        <f t="shared" si="3"/>
        <v>0</v>
      </c>
      <c r="BJ600" s="1421"/>
      <c r="BK600" s="1494">
        <f t="shared" si="4"/>
        <v>0</v>
      </c>
      <c r="BL600" s="1495"/>
      <c r="BM600" s="3"/>
      <c r="BN600" s="1505">
        <f t="shared" si="5"/>
        <v>0</v>
      </c>
      <c r="BO600" s="1506"/>
      <c r="BP600" s="1506"/>
      <c r="BQ600" s="1506"/>
      <c r="BR600" s="1507"/>
      <c r="BS600" s="1396">
        <f t="shared" si="6"/>
        <v>0</v>
      </c>
      <c r="BT600" s="1396"/>
      <c r="BU600" s="1396"/>
      <c r="BV600" s="1396"/>
      <c r="BW600" s="1396"/>
      <c r="BX600" s="1396">
        <f t="shared" si="7"/>
        <v>7</v>
      </c>
      <c r="BY600" s="1396"/>
      <c r="BZ600" s="1396"/>
      <c r="CA600" s="1396"/>
      <c r="CB600" s="1396"/>
      <c r="CC600" s="1396">
        <f t="shared" si="8"/>
        <v>0</v>
      </c>
      <c r="CD600" s="1396"/>
      <c r="CE600" s="1396"/>
      <c r="CF600" s="1396"/>
      <c r="CG600" s="1396"/>
      <c r="CH600" s="1396">
        <f t="shared" si="9"/>
        <v>0</v>
      </c>
      <c r="CI600" s="1396"/>
      <c r="CJ600" s="1396"/>
      <c r="CK600" s="1396"/>
      <c r="CL600" s="1396"/>
      <c r="CM600" s="1396">
        <f t="shared" si="10"/>
        <v>0</v>
      </c>
      <c r="CN600" s="1396"/>
      <c r="CO600" s="1396"/>
      <c r="CP600" s="1396"/>
      <c r="CQ600" s="1396"/>
      <c r="CR600" s="6"/>
      <c r="CS600" s="1713">
        <f t="shared" si="11"/>
        <v>0</v>
      </c>
      <c r="CT600" s="1713"/>
      <c r="CU600" s="1713"/>
      <c r="CV600" s="1713"/>
      <c r="CW600" s="1713"/>
      <c r="CX600" s="1713">
        <f t="shared" si="12"/>
        <v>0</v>
      </c>
      <c r="CY600" s="1713"/>
      <c r="CZ600" s="1713"/>
      <c r="DA600" s="1713"/>
      <c r="DB600" s="1713"/>
      <c r="DC600" s="1713">
        <f t="shared" si="13"/>
        <v>0</v>
      </c>
      <c r="DD600" s="1713"/>
      <c r="DE600" s="1713"/>
      <c r="DF600" s="1713"/>
      <c r="DG600" s="1713"/>
      <c r="DH600" s="1713">
        <f t="shared" si="14"/>
        <v>0</v>
      </c>
      <c r="DI600" s="1713"/>
      <c r="DJ600" s="1713"/>
      <c r="DK600" s="1713"/>
      <c r="DL600" s="1713"/>
      <c r="DM600" s="1713">
        <f t="shared" si="15"/>
        <v>0</v>
      </c>
      <c r="DN600" s="1713"/>
      <c r="DO600" s="1713"/>
      <c r="DP600" s="1713"/>
      <c r="DQ600" s="1713"/>
      <c r="DR600" s="1713">
        <f t="shared" si="16"/>
        <v>0</v>
      </c>
      <c r="DS600" s="1713"/>
      <c r="DT600" s="1713"/>
      <c r="DU600" s="1713"/>
      <c r="DV600" s="1713"/>
      <c r="DX600" s="1420" t="str">
        <f t="shared" si="17"/>
        <v xml:space="preserve"> </v>
      </c>
      <c r="DY600" s="1843"/>
      <c r="DZ600" s="1843"/>
      <c r="EA600" s="1843"/>
      <c r="EB600" s="1421"/>
      <c r="EC600" s="1420" t="str">
        <f t="shared" si="18"/>
        <v xml:space="preserve"> </v>
      </c>
      <c r="ED600" s="1843"/>
      <c r="EE600" s="1843"/>
      <c r="EF600" s="1843"/>
      <c r="EG600" s="1421"/>
      <c r="EH600" s="1420">
        <f t="shared" si="19"/>
        <v>1551</v>
      </c>
      <c r="EI600" s="1843"/>
      <c r="EJ600" s="1843"/>
      <c r="EK600" s="1843"/>
      <c r="EL600" s="1421"/>
      <c r="EM600" s="1420" t="str">
        <f t="shared" si="20"/>
        <v xml:space="preserve"> </v>
      </c>
      <c r="EN600" s="1843"/>
      <c r="EO600" s="1843"/>
      <c r="EP600" s="1843"/>
      <c r="EQ600" s="1421"/>
      <c r="ER600" s="1420" t="str">
        <f t="shared" si="21"/>
        <v xml:space="preserve"> </v>
      </c>
      <c r="ES600" s="1843"/>
      <c r="ET600" s="1843"/>
      <c r="EU600" s="1843"/>
      <c r="EV600" s="1421"/>
      <c r="EW600" s="1420" t="str">
        <f t="shared" si="22"/>
        <v xml:space="preserve"> </v>
      </c>
      <c r="EX600" s="1843"/>
      <c r="EY600" s="1843"/>
      <c r="EZ600" s="1843"/>
      <c r="FA600" s="1421"/>
    </row>
    <row r="601" spans="1:157" ht="12.9" customHeight="1">
      <c r="A601" s="22"/>
      <c r="B601" t="s">
        <v>318</v>
      </c>
      <c r="G601" s="1436"/>
      <c r="H601" s="1436"/>
      <c r="I601" s="1436"/>
      <c r="J601" s="1436"/>
      <c r="K601" s="1436"/>
      <c r="L601" s="1436"/>
      <c r="O601" s="33" t="s">
        <v>208</v>
      </c>
      <c r="P601" s="1462"/>
      <c r="Q601" s="1462"/>
      <c r="R601" s="1462"/>
      <c r="T601" s="22"/>
      <c r="U601" t="s">
        <v>318</v>
      </c>
      <c r="Z601" s="1436"/>
      <c r="AA601" s="1436"/>
      <c r="AB601" s="1436"/>
      <c r="AC601" s="1436"/>
      <c r="AD601" s="1436"/>
      <c r="AE601" s="1436"/>
      <c r="AH601" s="33" t="s">
        <v>208</v>
      </c>
      <c r="AI601" s="1462"/>
      <c r="AJ601" s="1462"/>
      <c r="AK601" s="1462"/>
      <c r="AZ601" s="3"/>
      <c r="BA601" s="3"/>
      <c r="BB601" s="3"/>
      <c r="BC601" s="3"/>
      <c r="BD601" s="3"/>
      <c r="BE601" s="1420">
        <f t="shared" si="1"/>
        <v>0</v>
      </c>
      <c r="BF601" s="1421"/>
      <c r="BG601" s="1494">
        <f t="shared" si="2"/>
        <v>0</v>
      </c>
      <c r="BH601" s="1495"/>
      <c r="BI601" s="1420">
        <f t="shared" si="3"/>
        <v>0</v>
      </c>
      <c r="BJ601" s="1421"/>
      <c r="BK601" s="1494">
        <f t="shared" si="4"/>
        <v>0</v>
      </c>
      <c r="BL601" s="1495"/>
      <c r="BM601" s="3"/>
      <c r="BN601" s="1505">
        <f t="shared" si="5"/>
        <v>0</v>
      </c>
      <c r="BO601" s="1506"/>
      <c r="BP601" s="1506"/>
      <c r="BQ601" s="1506"/>
      <c r="BR601" s="1507"/>
      <c r="BS601" s="1396">
        <f t="shared" si="6"/>
        <v>0</v>
      </c>
      <c r="BT601" s="1396"/>
      <c r="BU601" s="1396"/>
      <c r="BV601" s="1396"/>
      <c r="BW601" s="1396"/>
      <c r="BX601" s="1396">
        <f t="shared" si="7"/>
        <v>47</v>
      </c>
      <c r="BY601" s="1396"/>
      <c r="BZ601" s="1396"/>
      <c r="CA601" s="1396"/>
      <c r="CB601" s="1396"/>
      <c r="CC601" s="1396">
        <f t="shared" si="8"/>
        <v>0</v>
      </c>
      <c r="CD601" s="1396"/>
      <c r="CE601" s="1396"/>
      <c r="CF601" s="1396"/>
      <c r="CG601" s="1396"/>
      <c r="CH601" s="1396">
        <f t="shared" si="9"/>
        <v>0</v>
      </c>
      <c r="CI601" s="1396"/>
      <c r="CJ601" s="1396"/>
      <c r="CK601" s="1396"/>
      <c r="CL601" s="1396"/>
      <c r="CM601" s="1396">
        <f t="shared" si="10"/>
        <v>0</v>
      </c>
      <c r="CN601" s="1396"/>
      <c r="CO601" s="1396"/>
      <c r="CP601" s="1396"/>
      <c r="CQ601" s="1396"/>
      <c r="CR601" s="6"/>
      <c r="CS601" s="1713">
        <f t="shared" si="11"/>
        <v>0</v>
      </c>
      <c r="CT601" s="1713"/>
      <c r="CU601" s="1713"/>
      <c r="CV601" s="1713"/>
      <c r="CW601" s="1713"/>
      <c r="CX601" s="1713">
        <f t="shared" si="12"/>
        <v>0</v>
      </c>
      <c r="CY601" s="1713"/>
      <c r="CZ601" s="1713"/>
      <c r="DA601" s="1713"/>
      <c r="DB601" s="1713"/>
      <c r="DC601" s="1713">
        <f t="shared" si="13"/>
        <v>0</v>
      </c>
      <c r="DD601" s="1713"/>
      <c r="DE601" s="1713"/>
      <c r="DF601" s="1713"/>
      <c r="DG601" s="1713"/>
      <c r="DH601" s="1713">
        <f t="shared" si="14"/>
        <v>0</v>
      </c>
      <c r="DI601" s="1713"/>
      <c r="DJ601" s="1713"/>
      <c r="DK601" s="1713"/>
      <c r="DL601" s="1713"/>
      <c r="DM601" s="1713">
        <f t="shared" si="15"/>
        <v>0</v>
      </c>
      <c r="DN601" s="1713"/>
      <c r="DO601" s="1713"/>
      <c r="DP601" s="1713"/>
      <c r="DQ601" s="1713"/>
      <c r="DR601" s="1713">
        <f t="shared" si="16"/>
        <v>0</v>
      </c>
      <c r="DS601" s="1713"/>
      <c r="DT601" s="1713"/>
      <c r="DU601" s="1713"/>
      <c r="DV601" s="1713"/>
      <c r="DX601" s="1420" t="str">
        <f t="shared" si="17"/>
        <v xml:space="preserve"> </v>
      </c>
      <c r="DY601" s="1843"/>
      <c r="DZ601" s="1843"/>
      <c r="EA601" s="1843"/>
      <c r="EB601" s="1421"/>
      <c r="EC601" s="1420" t="str">
        <f t="shared" si="18"/>
        <v xml:space="preserve"> </v>
      </c>
      <c r="ED601" s="1843"/>
      <c r="EE601" s="1843"/>
      <c r="EF601" s="1843"/>
      <c r="EG601" s="1421"/>
      <c r="EH601" s="1420">
        <f t="shared" si="19"/>
        <v>1861</v>
      </c>
      <c r="EI601" s="1843"/>
      <c r="EJ601" s="1843"/>
      <c r="EK601" s="1843"/>
      <c r="EL601" s="1421"/>
      <c r="EM601" s="1420" t="str">
        <f t="shared" si="20"/>
        <v xml:space="preserve"> </v>
      </c>
      <c r="EN601" s="1843"/>
      <c r="EO601" s="1843"/>
      <c r="EP601" s="1843"/>
      <c r="EQ601" s="1421"/>
      <c r="ER601" s="1420" t="str">
        <f t="shared" si="21"/>
        <v xml:space="preserve"> </v>
      </c>
      <c r="ES601" s="1843"/>
      <c r="ET601" s="1843"/>
      <c r="EU601" s="1843"/>
      <c r="EV601" s="1421"/>
      <c r="EW601" s="1420" t="str">
        <f t="shared" si="22"/>
        <v xml:space="preserve"> </v>
      </c>
      <c r="EX601" s="1843"/>
      <c r="EY601" s="1843"/>
      <c r="EZ601" s="1843"/>
      <c r="FA601" s="1421"/>
    </row>
    <row r="602" spans="1:157" ht="12.9" customHeight="1">
      <c r="A602" s="22"/>
      <c r="B602" t="s">
        <v>18</v>
      </c>
      <c r="H602" s="1395"/>
      <c r="I602" s="1395"/>
      <c r="J602" s="1395"/>
      <c r="K602" s="1395"/>
      <c r="L602" s="1395"/>
      <c r="M602" s="1395"/>
      <c r="N602" s="1395"/>
      <c r="O602" s="1395"/>
      <c r="P602" s="1395"/>
      <c r="Q602" s="1395"/>
      <c r="R602" s="1395"/>
      <c r="T602" s="22"/>
      <c r="U602" t="s">
        <v>18</v>
      </c>
      <c r="AA602" s="1395"/>
      <c r="AB602" s="1395"/>
      <c r="AC602" s="1395"/>
      <c r="AD602" s="1395"/>
      <c r="AE602" s="1395"/>
      <c r="AF602" s="1395"/>
      <c r="AG602" s="1395"/>
      <c r="AH602" s="1395"/>
      <c r="AI602" s="1395"/>
      <c r="AJ602" s="1395"/>
      <c r="AK602" s="1395"/>
      <c r="AZ602" s="3"/>
      <c r="BA602" s="3"/>
      <c r="BB602" s="3"/>
      <c r="BC602" s="3"/>
      <c r="BD602" s="3"/>
      <c r="BE602" s="1420">
        <f t="shared" si="1"/>
        <v>0</v>
      </c>
      <c r="BF602" s="1421"/>
      <c r="BG602" s="1494">
        <f t="shared" si="2"/>
        <v>0</v>
      </c>
      <c r="BH602" s="1495"/>
      <c r="BI602" s="1420">
        <f t="shared" si="3"/>
        <v>1</v>
      </c>
      <c r="BJ602" s="1421"/>
      <c r="BK602" s="1494">
        <f t="shared" si="4"/>
        <v>6</v>
      </c>
      <c r="BL602" s="1495"/>
      <c r="BM602" s="3"/>
      <c r="BN602" s="1505">
        <f t="shared" si="5"/>
        <v>0</v>
      </c>
      <c r="BO602" s="1506"/>
      <c r="BP602" s="1506"/>
      <c r="BQ602" s="1506"/>
      <c r="BR602" s="1507"/>
      <c r="BS602" s="1396">
        <f t="shared" si="6"/>
        <v>0</v>
      </c>
      <c r="BT602" s="1396"/>
      <c r="BU602" s="1396"/>
      <c r="BV602" s="1396"/>
      <c r="BW602" s="1396"/>
      <c r="BX602" s="1396">
        <f t="shared" si="7"/>
        <v>0</v>
      </c>
      <c r="BY602" s="1396"/>
      <c r="BZ602" s="1396"/>
      <c r="CA602" s="1396"/>
      <c r="CB602" s="1396"/>
      <c r="CC602" s="1396">
        <f t="shared" si="8"/>
        <v>6</v>
      </c>
      <c r="CD602" s="1396"/>
      <c r="CE602" s="1396"/>
      <c r="CF602" s="1396"/>
      <c r="CG602" s="1396"/>
      <c r="CH602" s="1396">
        <f t="shared" si="9"/>
        <v>0</v>
      </c>
      <c r="CI602" s="1396"/>
      <c r="CJ602" s="1396"/>
      <c r="CK602" s="1396"/>
      <c r="CL602" s="1396"/>
      <c r="CM602" s="1396">
        <f t="shared" si="10"/>
        <v>0</v>
      </c>
      <c r="CN602" s="1396"/>
      <c r="CO602" s="1396"/>
      <c r="CP602" s="1396"/>
      <c r="CQ602" s="1396"/>
      <c r="CR602" s="6"/>
      <c r="CS602" s="1713">
        <f t="shared" si="11"/>
        <v>0</v>
      </c>
      <c r="CT602" s="1713"/>
      <c r="CU602" s="1713"/>
      <c r="CV602" s="1713"/>
      <c r="CW602" s="1713"/>
      <c r="CX602" s="1713">
        <f t="shared" si="12"/>
        <v>0</v>
      </c>
      <c r="CY602" s="1713"/>
      <c r="CZ602" s="1713"/>
      <c r="DA602" s="1713"/>
      <c r="DB602" s="1713"/>
      <c r="DC602" s="1713">
        <f t="shared" si="13"/>
        <v>0</v>
      </c>
      <c r="DD602" s="1713"/>
      <c r="DE602" s="1713"/>
      <c r="DF602" s="1713"/>
      <c r="DG602" s="1713"/>
      <c r="DH602" s="1713">
        <f t="shared" si="14"/>
        <v>6</v>
      </c>
      <c r="DI602" s="1713"/>
      <c r="DJ602" s="1713"/>
      <c r="DK602" s="1713"/>
      <c r="DL602" s="1713"/>
      <c r="DM602" s="1713">
        <f t="shared" si="15"/>
        <v>0</v>
      </c>
      <c r="DN602" s="1713"/>
      <c r="DO602" s="1713"/>
      <c r="DP602" s="1713"/>
      <c r="DQ602" s="1713"/>
      <c r="DR602" s="1713">
        <f t="shared" si="16"/>
        <v>0</v>
      </c>
      <c r="DS602" s="1713"/>
      <c r="DT602" s="1713"/>
      <c r="DU602" s="1713"/>
      <c r="DV602" s="1713"/>
      <c r="DX602" s="1420" t="str">
        <f t="shared" si="17"/>
        <v xml:space="preserve"> </v>
      </c>
      <c r="DY602" s="1843"/>
      <c r="DZ602" s="1843"/>
      <c r="EA602" s="1843"/>
      <c r="EB602" s="1421"/>
      <c r="EC602" s="1420" t="str">
        <f t="shared" si="18"/>
        <v xml:space="preserve"> </v>
      </c>
      <c r="ED602" s="1843"/>
      <c r="EE602" s="1843"/>
      <c r="EF602" s="1843"/>
      <c r="EG602" s="1421"/>
      <c r="EH602" s="1420" t="str">
        <f t="shared" si="19"/>
        <v xml:space="preserve"> </v>
      </c>
      <c r="EI602" s="1843"/>
      <c r="EJ602" s="1843"/>
      <c r="EK602" s="1843"/>
      <c r="EL602" s="1421"/>
      <c r="EM602" s="1420">
        <f t="shared" si="20"/>
        <v>1075</v>
      </c>
      <c r="EN602" s="1843"/>
      <c r="EO602" s="1843"/>
      <c r="EP602" s="1843"/>
      <c r="EQ602" s="1421"/>
      <c r="ER602" s="1420" t="str">
        <f t="shared" si="21"/>
        <v xml:space="preserve"> </v>
      </c>
      <c r="ES602" s="1843"/>
      <c r="ET602" s="1843"/>
      <c r="EU602" s="1843"/>
      <c r="EV602" s="1421"/>
      <c r="EW602" s="1420" t="str">
        <f t="shared" si="22"/>
        <v xml:space="preserve"> </v>
      </c>
      <c r="EX602" s="1843"/>
      <c r="EY602" s="1843"/>
      <c r="EZ602" s="1843"/>
      <c r="FA602" s="1421"/>
    </row>
    <row r="603" spans="1:157" ht="12.9" customHeight="1">
      <c r="A603" s="22"/>
      <c r="B603" t="s">
        <v>20</v>
      </c>
      <c r="N603" s="1374" t="s">
        <v>679</v>
      </c>
      <c r="O603" s="1374"/>
      <c r="T603" s="22"/>
      <c r="U603" t="s">
        <v>20</v>
      </c>
      <c r="AG603" s="1374" t="s">
        <v>679</v>
      </c>
      <c r="AH603" s="1374"/>
      <c r="AZ603" s="3"/>
      <c r="BA603" s="3"/>
      <c r="BB603" s="3"/>
      <c r="BC603" s="3"/>
      <c r="BD603" s="3"/>
      <c r="BE603" s="1420">
        <f t="shared" si="1"/>
        <v>1</v>
      </c>
      <c r="BF603" s="1421"/>
      <c r="BG603" s="1494">
        <f t="shared" si="2"/>
        <v>6</v>
      </c>
      <c r="BH603" s="1495"/>
      <c r="BI603" s="1420">
        <f t="shared" si="3"/>
        <v>0</v>
      </c>
      <c r="BJ603" s="1421"/>
      <c r="BK603" s="1494">
        <f t="shared" si="4"/>
        <v>0</v>
      </c>
      <c r="BL603" s="1495"/>
      <c r="BM603" s="3"/>
      <c r="BN603" s="1505">
        <f t="shared" si="5"/>
        <v>0</v>
      </c>
      <c r="BO603" s="1506"/>
      <c r="BP603" s="1506"/>
      <c r="BQ603" s="1506"/>
      <c r="BR603" s="1507"/>
      <c r="BS603" s="1396">
        <f t="shared" si="6"/>
        <v>0</v>
      </c>
      <c r="BT603" s="1396"/>
      <c r="BU603" s="1396"/>
      <c r="BV603" s="1396"/>
      <c r="BW603" s="1396"/>
      <c r="BX603" s="1396">
        <f t="shared" si="7"/>
        <v>0</v>
      </c>
      <c r="BY603" s="1396"/>
      <c r="BZ603" s="1396"/>
      <c r="CA603" s="1396"/>
      <c r="CB603" s="1396"/>
      <c r="CC603" s="1396">
        <f t="shared" si="8"/>
        <v>6</v>
      </c>
      <c r="CD603" s="1396"/>
      <c r="CE603" s="1396"/>
      <c r="CF603" s="1396"/>
      <c r="CG603" s="1396"/>
      <c r="CH603" s="1396">
        <f t="shared" si="9"/>
        <v>0</v>
      </c>
      <c r="CI603" s="1396"/>
      <c r="CJ603" s="1396"/>
      <c r="CK603" s="1396"/>
      <c r="CL603" s="1396"/>
      <c r="CM603" s="1396">
        <f t="shared" si="10"/>
        <v>0</v>
      </c>
      <c r="CN603" s="1396"/>
      <c r="CO603" s="1396"/>
      <c r="CP603" s="1396"/>
      <c r="CQ603" s="1396"/>
      <c r="CR603" s="6"/>
      <c r="CS603" s="1713">
        <f t="shared" si="11"/>
        <v>0</v>
      </c>
      <c r="CT603" s="1713"/>
      <c r="CU603" s="1713"/>
      <c r="CV603" s="1713"/>
      <c r="CW603" s="1713"/>
      <c r="CX603" s="1713">
        <f t="shared" si="12"/>
        <v>0</v>
      </c>
      <c r="CY603" s="1713"/>
      <c r="CZ603" s="1713"/>
      <c r="DA603" s="1713"/>
      <c r="DB603" s="1713"/>
      <c r="DC603" s="1713">
        <f t="shared" si="13"/>
        <v>0</v>
      </c>
      <c r="DD603" s="1713"/>
      <c r="DE603" s="1713"/>
      <c r="DF603" s="1713"/>
      <c r="DG603" s="1713"/>
      <c r="DH603" s="1713">
        <f t="shared" si="14"/>
        <v>0</v>
      </c>
      <c r="DI603" s="1713"/>
      <c r="DJ603" s="1713"/>
      <c r="DK603" s="1713"/>
      <c r="DL603" s="1713"/>
      <c r="DM603" s="1713">
        <f t="shared" si="15"/>
        <v>0</v>
      </c>
      <c r="DN603" s="1713"/>
      <c r="DO603" s="1713"/>
      <c r="DP603" s="1713"/>
      <c r="DQ603" s="1713"/>
      <c r="DR603" s="1713">
        <f t="shared" si="16"/>
        <v>0</v>
      </c>
      <c r="DS603" s="1713"/>
      <c r="DT603" s="1713"/>
      <c r="DU603" s="1713"/>
      <c r="DV603" s="1713"/>
      <c r="DX603" s="1420" t="str">
        <f t="shared" si="17"/>
        <v xml:space="preserve"> </v>
      </c>
      <c r="DY603" s="1843"/>
      <c r="DZ603" s="1843"/>
      <c r="EA603" s="1843"/>
      <c r="EB603" s="1421"/>
      <c r="EC603" s="1420" t="str">
        <f t="shared" si="18"/>
        <v xml:space="preserve"> </v>
      </c>
      <c r="ED603" s="1843"/>
      <c r="EE603" s="1843"/>
      <c r="EF603" s="1843"/>
      <c r="EG603" s="1421"/>
      <c r="EH603" s="1420" t="str">
        <f t="shared" si="19"/>
        <v xml:space="preserve"> </v>
      </c>
      <c r="EI603" s="1843"/>
      <c r="EJ603" s="1843"/>
      <c r="EK603" s="1843"/>
      <c r="EL603" s="1421"/>
      <c r="EM603" s="1420">
        <f t="shared" si="20"/>
        <v>1791</v>
      </c>
      <c r="EN603" s="1843"/>
      <c r="EO603" s="1843"/>
      <c r="EP603" s="1843"/>
      <c r="EQ603" s="1421"/>
      <c r="ER603" s="1420" t="str">
        <f t="shared" si="21"/>
        <v xml:space="preserve"> </v>
      </c>
      <c r="ES603" s="1843"/>
      <c r="ET603" s="1843"/>
      <c r="EU603" s="1843"/>
      <c r="EV603" s="1421"/>
      <c r="EW603" s="1420" t="str">
        <f t="shared" si="22"/>
        <v xml:space="preserve"> </v>
      </c>
      <c r="EX603" s="1843"/>
      <c r="EY603" s="1843"/>
      <c r="EZ603" s="1843"/>
      <c r="FA603" s="1421"/>
    </row>
    <row r="604" spans="1:157" s="4" customFormat="1" ht="12.9"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0">
        <f t="shared" si="1"/>
        <v>0</v>
      </c>
      <c r="BF604" s="1421"/>
      <c r="BG604" s="1494">
        <f t="shared" si="2"/>
        <v>0</v>
      </c>
      <c r="BH604" s="1495"/>
      <c r="BI604" s="1420">
        <f t="shared" si="3"/>
        <v>0</v>
      </c>
      <c r="BJ604" s="1421"/>
      <c r="BK604" s="1494">
        <f t="shared" si="4"/>
        <v>0</v>
      </c>
      <c r="BL604" s="1495"/>
      <c r="BM604" s="3"/>
      <c r="BN604" s="1505">
        <f t="shared" si="5"/>
        <v>0</v>
      </c>
      <c r="BO604" s="1506"/>
      <c r="BP604" s="1506"/>
      <c r="BQ604" s="1506"/>
      <c r="BR604" s="1507"/>
      <c r="BS604" s="1396">
        <f t="shared" si="6"/>
        <v>0</v>
      </c>
      <c r="BT604" s="1396"/>
      <c r="BU604" s="1396"/>
      <c r="BV604" s="1396"/>
      <c r="BW604" s="1396"/>
      <c r="BX604" s="1396">
        <f t="shared" si="7"/>
        <v>0</v>
      </c>
      <c r="BY604" s="1396"/>
      <c r="BZ604" s="1396"/>
      <c r="CA604" s="1396"/>
      <c r="CB604" s="1396"/>
      <c r="CC604" s="1396">
        <f t="shared" si="8"/>
        <v>48</v>
      </c>
      <c r="CD604" s="1396"/>
      <c r="CE604" s="1396"/>
      <c r="CF604" s="1396"/>
      <c r="CG604" s="1396"/>
      <c r="CH604" s="1396">
        <f t="shared" si="9"/>
        <v>0</v>
      </c>
      <c r="CI604" s="1396"/>
      <c r="CJ604" s="1396"/>
      <c r="CK604" s="1396"/>
      <c r="CL604" s="1396"/>
      <c r="CM604" s="1396">
        <f t="shared" si="10"/>
        <v>0</v>
      </c>
      <c r="CN604" s="1396"/>
      <c r="CO604" s="1396"/>
      <c r="CP604" s="1396"/>
      <c r="CQ604" s="1396"/>
      <c r="CR604" s="6"/>
      <c r="CS604" s="1713">
        <f t="shared" si="11"/>
        <v>0</v>
      </c>
      <c r="CT604" s="1713"/>
      <c r="CU604" s="1713"/>
      <c r="CV604" s="1713"/>
      <c r="CW604" s="1713"/>
      <c r="CX604" s="1713">
        <f t="shared" si="12"/>
        <v>0</v>
      </c>
      <c r="CY604" s="1713"/>
      <c r="CZ604" s="1713"/>
      <c r="DA604" s="1713"/>
      <c r="DB604" s="1713"/>
      <c r="DC604" s="1713">
        <f t="shared" si="13"/>
        <v>0</v>
      </c>
      <c r="DD604" s="1713"/>
      <c r="DE604" s="1713"/>
      <c r="DF604" s="1713"/>
      <c r="DG604" s="1713"/>
      <c r="DH604" s="1713">
        <f t="shared" si="14"/>
        <v>0</v>
      </c>
      <c r="DI604" s="1713"/>
      <c r="DJ604" s="1713"/>
      <c r="DK604" s="1713"/>
      <c r="DL604" s="1713"/>
      <c r="DM604" s="1713">
        <f t="shared" si="15"/>
        <v>0</v>
      </c>
      <c r="DN604" s="1713"/>
      <c r="DO604" s="1713"/>
      <c r="DP604" s="1713"/>
      <c r="DQ604" s="1713"/>
      <c r="DR604" s="1713">
        <f t="shared" si="16"/>
        <v>0</v>
      </c>
      <c r="DS604" s="1713"/>
      <c r="DT604" s="1713"/>
      <c r="DU604" s="1713"/>
      <c r="DV604" s="1713"/>
      <c r="DX604" s="1420" t="str">
        <f t="shared" si="17"/>
        <v xml:space="preserve"> </v>
      </c>
      <c r="DY604" s="1843"/>
      <c r="DZ604" s="1843"/>
      <c r="EA604" s="1843"/>
      <c r="EB604" s="1421"/>
      <c r="EC604" s="1420" t="str">
        <f t="shared" si="18"/>
        <v xml:space="preserve"> </v>
      </c>
      <c r="ED604" s="1843"/>
      <c r="EE604" s="1843"/>
      <c r="EF604" s="1843"/>
      <c r="EG604" s="1421"/>
      <c r="EH604" s="1420" t="str">
        <f t="shared" si="19"/>
        <v xml:space="preserve"> </v>
      </c>
      <c r="EI604" s="1843"/>
      <c r="EJ604" s="1843"/>
      <c r="EK604" s="1843"/>
      <c r="EL604" s="1421"/>
      <c r="EM604" s="1420">
        <f t="shared" si="20"/>
        <v>2150</v>
      </c>
      <c r="EN604" s="1843"/>
      <c r="EO604" s="1843"/>
      <c r="EP604" s="1843"/>
      <c r="EQ604" s="1421"/>
      <c r="ER604" s="1420" t="str">
        <f t="shared" si="21"/>
        <v xml:space="preserve"> </v>
      </c>
      <c r="ES604" s="1843"/>
      <c r="ET604" s="1843"/>
      <c r="EU604" s="1843"/>
      <c r="EV604" s="1421"/>
      <c r="EW604" s="1420" t="str">
        <f t="shared" si="22"/>
        <v xml:space="preserve"> </v>
      </c>
      <c r="EX604" s="1843"/>
      <c r="EY604" s="1843"/>
      <c r="EZ604" s="1843"/>
      <c r="FA604" s="1421"/>
    </row>
    <row r="605" spans="1:157" s="4" customFormat="1" ht="12.9" customHeight="1">
      <c r="A605" s="55" t="s">
        <v>364</v>
      </c>
      <c r="B605" t="s">
        <v>473</v>
      </c>
      <c r="C605"/>
      <c r="D605"/>
      <c r="E605"/>
      <c r="F605"/>
      <c r="G605" s="1511">
        <f>C560</f>
        <v>0</v>
      </c>
      <c r="H605" s="1511"/>
      <c r="I605" s="1511"/>
      <c r="J605" s="1511"/>
      <c r="K605" s="1511"/>
      <c r="L605" s="1511"/>
      <c r="M605" s="1511"/>
      <c r="N605" s="1511"/>
      <c r="O605" s="1511"/>
      <c r="P605" s="1511"/>
      <c r="Q605" s="1511"/>
      <c r="R605" s="1511"/>
      <c r="S605"/>
      <c r="T605" s="55" t="s">
        <v>365</v>
      </c>
      <c r="U605" t="s">
        <v>473</v>
      </c>
      <c r="V605"/>
      <c r="W605"/>
      <c r="X605"/>
      <c r="Y605"/>
      <c r="Z605" s="1511">
        <f>C561</f>
        <v>0</v>
      </c>
      <c r="AA605" s="1511"/>
      <c r="AB605" s="1511"/>
      <c r="AC605" s="1511"/>
      <c r="AD605" s="1511"/>
      <c r="AE605" s="1511"/>
      <c r="AF605" s="1511"/>
      <c r="AG605" s="1511"/>
      <c r="AH605" s="1511"/>
      <c r="AI605" s="1511"/>
      <c r="AJ605" s="1511"/>
      <c r="AK605" s="1511"/>
      <c r="AL605"/>
      <c r="AM605"/>
      <c r="AN605"/>
      <c r="AO605"/>
      <c r="AP605"/>
      <c r="AQ605"/>
      <c r="AR605"/>
      <c r="AS605"/>
      <c r="AT605"/>
      <c r="AU605"/>
      <c r="AV605"/>
      <c r="AW605"/>
      <c r="AX605"/>
      <c r="AY605"/>
      <c r="AZ605" s="3"/>
      <c r="BA605" s="3"/>
      <c r="BB605" s="3"/>
      <c r="BC605" s="3"/>
      <c r="BD605" s="3"/>
      <c r="BE605" s="1420">
        <f t="shared" si="1"/>
        <v>0</v>
      </c>
      <c r="BF605" s="1421"/>
      <c r="BG605" s="1494">
        <f t="shared" si="2"/>
        <v>0</v>
      </c>
      <c r="BH605" s="1495"/>
      <c r="BI605" s="1420">
        <f t="shared" si="3"/>
        <v>0</v>
      </c>
      <c r="BJ605" s="1421"/>
      <c r="BK605" s="1494">
        <f t="shared" si="4"/>
        <v>0</v>
      </c>
      <c r="BL605" s="1495"/>
      <c r="BM605" s="3"/>
      <c r="BN605" s="1505">
        <f t="shared" si="5"/>
        <v>0</v>
      </c>
      <c r="BO605" s="1506"/>
      <c r="BP605" s="1506"/>
      <c r="BQ605" s="1506"/>
      <c r="BR605" s="1507"/>
      <c r="BS605" s="1396">
        <f t="shared" si="6"/>
        <v>0</v>
      </c>
      <c r="BT605" s="1396"/>
      <c r="BU605" s="1396"/>
      <c r="BV605" s="1396"/>
      <c r="BW605" s="1396"/>
      <c r="BX605" s="1396">
        <f t="shared" si="7"/>
        <v>0</v>
      </c>
      <c r="BY605" s="1396"/>
      <c r="BZ605" s="1396"/>
      <c r="CA605" s="1396"/>
      <c r="CB605" s="1396"/>
      <c r="CC605" s="1396">
        <f t="shared" si="8"/>
        <v>0</v>
      </c>
      <c r="CD605" s="1396"/>
      <c r="CE605" s="1396"/>
      <c r="CF605" s="1396"/>
      <c r="CG605" s="1396"/>
      <c r="CH605" s="1396">
        <f t="shared" si="9"/>
        <v>0</v>
      </c>
      <c r="CI605" s="1396"/>
      <c r="CJ605" s="1396"/>
      <c r="CK605" s="1396"/>
      <c r="CL605" s="1396"/>
      <c r="CM605" s="1396">
        <f t="shared" si="10"/>
        <v>0</v>
      </c>
      <c r="CN605" s="1396"/>
      <c r="CO605" s="1396"/>
      <c r="CP605" s="1396"/>
      <c r="CQ605" s="1396"/>
      <c r="CR605" s="6"/>
      <c r="CS605" s="1713">
        <f t="shared" si="11"/>
        <v>0</v>
      </c>
      <c r="CT605" s="1713"/>
      <c r="CU605" s="1713"/>
      <c r="CV605" s="1713"/>
      <c r="CW605" s="1713"/>
      <c r="CX605" s="1713">
        <f t="shared" si="12"/>
        <v>0</v>
      </c>
      <c r="CY605" s="1713"/>
      <c r="CZ605" s="1713"/>
      <c r="DA605" s="1713"/>
      <c r="DB605" s="1713"/>
      <c r="DC605" s="1713">
        <f t="shared" si="13"/>
        <v>0</v>
      </c>
      <c r="DD605" s="1713"/>
      <c r="DE605" s="1713"/>
      <c r="DF605" s="1713"/>
      <c r="DG605" s="1713"/>
      <c r="DH605" s="1713">
        <f t="shared" si="14"/>
        <v>0</v>
      </c>
      <c r="DI605" s="1713"/>
      <c r="DJ605" s="1713"/>
      <c r="DK605" s="1713"/>
      <c r="DL605" s="1713"/>
      <c r="DM605" s="1713">
        <f t="shared" si="15"/>
        <v>0</v>
      </c>
      <c r="DN605" s="1713"/>
      <c r="DO605" s="1713"/>
      <c r="DP605" s="1713"/>
      <c r="DQ605" s="1713"/>
      <c r="DR605" s="1713">
        <f t="shared" si="16"/>
        <v>0</v>
      </c>
      <c r="DS605" s="1713"/>
      <c r="DT605" s="1713"/>
      <c r="DU605" s="1713"/>
      <c r="DV605" s="1713"/>
      <c r="DX605" s="1420" t="str">
        <f t="shared" si="17"/>
        <v xml:space="preserve"> </v>
      </c>
      <c r="DY605" s="1843"/>
      <c r="DZ605" s="1843"/>
      <c r="EA605" s="1843"/>
      <c r="EB605" s="1421"/>
      <c r="EC605" s="1420" t="str">
        <f t="shared" si="18"/>
        <v xml:space="preserve"> </v>
      </c>
      <c r="ED605" s="1843"/>
      <c r="EE605" s="1843"/>
      <c r="EF605" s="1843"/>
      <c r="EG605" s="1421"/>
      <c r="EH605" s="1420" t="str">
        <f t="shared" si="19"/>
        <v xml:space="preserve"> </v>
      </c>
      <c r="EI605" s="1843"/>
      <c r="EJ605" s="1843"/>
      <c r="EK605" s="1843"/>
      <c r="EL605" s="1421"/>
      <c r="EM605" s="1420" t="str">
        <f t="shared" si="20"/>
        <v xml:space="preserve"> </v>
      </c>
      <c r="EN605" s="1843"/>
      <c r="EO605" s="1843"/>
      <c r="EP605" s="1843"/>
      <c r="EQ605" s="1421"/>
      <c r="ER605" s="1420" t="str">
        <f t="shared" si="21"/>
        <v xml:space="preserve"> </v>
      </c>
      <c r="ES605" s="1843"/>
      <c r="ET605" s="1843"/>
      <c r="EU605" s="1843"/>
      <c r="EV605" s="1421"/>
      <c r="EW605" s="1420" t="str">
        <f t="shared" si="22"/>
        <v xml:space="preserve"> </v>
      </c>
      <c r="EX605" s="1843"/>
      <c r="EY605" s="1843"/>
      <c r="EZ605" s="1843"/>
      <c r="FA605" s="1421"/>
    </row>
    <row r="606" spans="1:157" s="4" customFormat="1" ht="12.9" customHeight="1">
      <c r="A606"/>
      <c r="B606" t="s">
        <v>86</v>
      </c>
      <c r="C606"/>
      <c r="D606"/>
      <c r="E606"/>
      <c r="F606"/>
      <c r="G606" s="1395"/>
      <c r="H606" s="1395"/>
      <c r="I606" s="1395"/>
      <c r="J606" s="1395"/>
      <c r="K606" s="1395"/>
      <c r="L606" s="1395"/>
      <c r="M606" s="1395"/>
      <c r="N606" s="1395"/>
      <c r="O606" s="1395"/>
      <c r="P606" s="1395"/>
      <c r="Q606" s="1395"/>
      <c r="R606" s="1395"/>
      <c r="S606"/>
      <c r="T606"/>
      <c r="U606" t="s">
        <v>86</v>
      </c>
      <c r="V606"/>
      <c r="W606"/>
      <c r="X606"/>
      <c r="Y606"/>
      <c r="Z606" s="1395"/>
      <c r="AA606" s="1395"/>
      <c r="AB606" s="1395"/>
      <c r="AC606" s="1395"/>
      <c r="AD606" s="1395"/>
      <c r="AE606" s="1395"/>
      <c r="AF606" s="1395"/>
      <c r="AG606" s="1395"/>
      <c r="AH606" s="1395"/>
      <c r="AI606" s="1395"/>
      <c r="AJ606" s="1395"/>
      <c r="AK606" s="1395"/>
      <c r="AL606"/>
      <c r="AM606"/>
      <c r="AN606"/>
      <c r="AO606"/>
      <c r="AP606"/>
      <c r="AQ606"/>
      <c r="AR606"/>
      <c r="AS606"/>
      <c r="AT606"/>
      <c r="AU606"/>
      <c r="AV606"/>
      <c r="AW606"/>
      <c r="AX606"/>
      <c r="AY606"/>
      <c r="AZ606" s="3"/>
      <c r="BA606" s="3"/>
      <c r="BB606" s="3"/>
      <c r="BC606" s="3"/>
      <c r="BD606" s="3"/>
      <c r="BE606" s="1420">
        <f t="shared" si="1"/>
        <v>0</v>
      </c>
      <c r="BF606" s="1421"/>
      <c r="BG606" s="1494">
        <f t="shared" si="2"/>
        <v>0</v>
      </c>
      <c r="BH606" s="1495"/>
      <c r="BI606" s="1420">
        <f t="shared" si="3"/>
        <v>0</v>
      </c>
      <c r="BJ606" s="1421"/>
      <c r="BK606" s="1494">
        <f t="shared" si="4"/>
        <v>0</v>
      </c>
      <c r="BL606" s="1495"/>
      <c r="BM606" s="3"/>
      <c r="BN606" s="1505">
        <f t="shared" si="5"/>
        <v>0</v>
      </c>
      <c r="BO606" s="1506"/>
      <c r="BP606" s="1506"/>
      <c r="BQ606" s="1506"/>
      <c r="BR606" s="1507"/>
      <c r="BS606" s="1396">
        <f t="shared" si="6"/>
        <v>0</v>
      </c>
      <c r="BT606" s="1396"/>
      <c r="BU606" s="1396"/>
      <c r="BV606" s="1396"/>
      <c r="BW606" s="1396"/>
      <c r="BX606" s="1396">
        <f t="shared" si="7"/>
        <v>0</v>
      </c>
      <c r="BY606" s="1396"/>
      <c r="BZ606" s="1396"/>
      <c r="CA606" s="1396"/>
      <c r="CB606" s="1396"/>
      <c r="CC606" s="1396">
        <f t="shared" si="8"/>
        <v>0</v>
      </c>
      <c r="CD606" s="1396"/>
      <c r="CE606" s="1396"/>
      <c r="CF606" s="1396"/>
      <c r="CG606" s="1396"/>
      <c r="CH606" s="1396">
        <f t="shared" si="9"/>
        <v>0</v>
      </c>
      <c r="CI606" s="1396"/>
      <c r="CJ606" s="1396"/>
      <c r="CK606" s="1396"/>
      <c r="CL606" s="1396"/>
      <c r="CM606" s="1396">
        <f t="shared" si="10"/>
        <v>0</v>
      </c>
      <c r="CN606" s="1396"/>
      <c r="CO606" s="1396"/>
      <c r="CP606" s="1396"/>
      <c r="CQ606" s="1396"/>
      <c r="CR606" s="6"/>
      <c r="CS606" s="1713">
        <f t="shared" si="11"/>
        <v>0</v>
      </c>
      <c r="CT606" s="1713"/>
      <c r="CU606" s="1713"/>
      <c r="CV606" s="1713"/>
      <c r="CW606" s="1713"/>
      <c r="CX606" s="1713">
        <f t="shared" si="12"/>
        <v>0</v>
      </c>
      <c r="CY606" s="1713"/>
      <c r="CZ606" s="1713"/>
      <c r="DA606" s="1713"/>
      <c r="DB606" s="1713"/>
      <c r="DC606" s="1713">
        <f t="shared" si="13"/>
        <v>0</v>
      </c>
      <c r="DD606" s="1713"/>
      <c r="DE606" s="1713"/>
      <c r="DF606" s="1713"/>
      <c r="DG606" s="1713"/>
      <c r="DH606" s="1713">
        <f t="shared" si="14"/>
        <v>0</v>
      </c>
      <c r="DI606" s="1713"/>
      <c r="DJ606" s="1713"/>
      <c r="DK606" s="1713"/>
      <c r="DL606" s="1713"/>
      <c r="DM606" s="1713">
        <f t="shared" si="15"/>
        <v>0</v>
      </c>
      <c r="DN606" s="1713"/>
      <c r="DO606" s="1713"/>
      <c r="DP606" s="1713"/>
      <c r="DQ606" s="1713"/>
      <c r="DR606" s="1713">
        <f t="shared" si="16"/>
        <v>0</v>
      </c>
      <c r="DS606" s="1713"/>
      <c r="DT606" s="1713"/>
      <c r="DU606" s="1713"/>
      <c r="DV606" s="1713"/>
      <c r="DX606" s="1420" t="str">
        <f t="shared" si="17"/>
        <v xml:space="preserve"> </v>
      </c>
      <c r="DY606" s="1843"/>
      <c r="DZ606" s="1843"/>
      <c r="EA606" s="1843"/>
      <c r="EB606" s="1421"/>
      <c r="EC606" s="1420" t="str">
        <f t="shared" si="18"/>
        <v xml:space="preserve"> </v>
      </c>
      <c r="ED606" s="1843"/>
      <c r="EE606" s="1843"/>
      <c r="EF606" s="1843"/>
      <c r="EG606" s="1421"/>
      <c r="EH606" s="1420" t="str">
        <f t="shared" si="19"/>
        <v xml:space="preserve"> </v>
      </c>
      <c r="EI606" s="1843"/>
      <c r="EJ606" s="1843"/>
      <c r="EK606" s="1843"/>
      <c r="EL606" s="1421"/>
      <c r="EM606" s="1420" t="str">
        <f t="shared" si="20"/>
        <v xml:space="preserve"> </v>
      </c>
      <c r="EN606" s="1843"/>
      <c r="EO606" s="1843"/>
      <c r="EP606" s="1843"/>
      <c r="EQ606" s="1421"/>
      <c r="ER606" s="1420" t="str">
        <f t="shared" si="21"/>
        <v xml:space="preserve"> </v>
      </c>
      <c r="ES606" s="1843"/>
      <c r="ET606" s="1843"/>
      <c r="EU606" s="1843"/>
      <c r="EV606" s="1421"/>
      <c r="EW606" s="1420" t="str">
        <f t="shared" si="22"/>
        <v xml:space="preserve"> </v>
      </c>
      <c r="EX606" s="1843"/>
      <c r="EY606" s="1843"/>
      <c r="EZ606" s="1843"/>
      <c r="FA606" s="1421"/>
    </row>
    <row r="607" spans="1:157" ht="12.9" customHeight="1">
      <c r="B607" t="s">
        <v>590</v>
      </c>
      <c r="G607" s="1395"/>
      <c r="H607" s="1395"/>
      <c r="I607" s="1395"/>
      <c r="J607" s="1395"/>
      <c r="K607" s="1395"/>
      <c r="L607" s="1395"/>
      <c r="M607" s="1395"/>
      <c r="N607" s="1395"/>
      <c r="O607" s="1395"/>
      <c r="P607" s="1395"/>
      <c r="Q607" s="1395"/>
      <c r="R607" s="1395"/>
      <c r="U607" t="s">
        <v>590</v>
      </c>
      <c r="Z607" s="1367"/>
      <c r="AA607" s="1367"/>
      <c r="AB607" s="1367"/>
      <c r="AC607" s="1367"/>
      <c r="AD607" s="1367"/>
      <c r="AE607" s="1367"/>
      <c r="AF607" s="1367"/>
      <c r="AG607" s="1367"/>
      <c r="AH607" s="1367"/>
      <c r="AI607" s="1367"/>
      <c r="AJ607" s="1367"/>
      <c r="AK607" s="1367"/>
      <c r="AZ607" s="3"/>
      <c r="BA607" s="3"/>
      <c r="BB607" s="3"/>
      <c r="BC607" s="3"/>
      <c r="BD607" s="3"/>
      <c r="BE607" s="1420">
        <f t="shared" si="1"/>
        <v>0</v>
      </c>
      <c r="BF607" s="1421"/>
      <c r="BG607" s="1494">
        <f t="shared" si="2"/>
        <v>0</v>
      </c>
      <c r="BH607" s="1495"/>
      <c r="BI607" s="1420">
        <f t="shared" si="3"/>
        <v>0</v>
      </c>
      <c r="BJ607" s="1421"/>
      <c r="BK607" s="1494">
        <f t="shared" si="4"/>
        <v>0</v>
      </c>
      <c r="BL607" s="1495"/>
      <c r="BM607" s="3"/>
      <c r="BN607" s="1505">
        <f t="shared" si="5"/>
        <v>0</v>
      </c>
      <c r="BO607" s="1506"/>
      <c r="BP607" s="1506"/>
      <c r="BQ607" s="1506"/>
      <c r="BR607" s="1507"/>
      <c r="BS607" s="1396">
        <f t="shared" si="6"/>
        <v>0</v>
      </c>
      <c r="BT607" s="1396"/>
      <c r="BU607" s="1396"/>
      <c r="BV607" s="1396"/>
      <c r="BW607" s="1396"/>
      <c r="BX607" s="1396">
        <f t="shared" si="7"/>
        <v>0</v>
      </c>
      <c r="BY607" s="1396"/>
      <c r="BZ607" s="1396"/>
      <c r="CA607" s="1396"/>
      <c r="CB607" s="1396"/>
      <c r="CC607" s="1396">
        <f t="shared" si="8"/>
        <v>0</v>
      </c>
      <c r="CD607" s="1396"/>
      <c r="CE607" s="1396"/>
      <c r="CF607" s="1396"/>
      <c r="CG607" s="1396"/>
      <c r="CH607" s="1396">
        <f t="shared" si="9"/>
        <v>0</v>
      </c>
      <c r="CI607" s="1396"/>
      <c r="CJ607" s="1396"/>
      <c r="CK607" s="1396"/>
      <c r="CL607" s="1396"/>
      <c r="CM607" s="1396">
        <f t="shared" si="10"/>
        <v>0</v>
      </c>
      <c r="CN607" s="1396"/>
      <c r="CO607" s="1396"/>
      <c r="CP607" s="1396"/>
      <c r="CQ607" s="1396"/>
      <c r="CR607" s="6"/>
      <c r="CS607" s="1713">
        <f t="shared" si="11"/>
        <v>0</v>
      </c>
      <c r="CT607" s="1713"/>
      <c r="CU607" s="1713"/>
      <c r="CV607" s="1713"/>
      <c r="CW607" s="1713"/>
      <c r="CX607" s="1713">
        <f t="shared" si="12"/>
        <v>0</v>
      </c>
      <c r="CY607" s="1713"/>
      <c r="CZ607" s="1713"/>
      <c r="DA607" s="1713"/>
      <c r="DB607" s="1713"/>
      <c r="DC607" s="1713">
        <f t="shared" si="13"/>
        <v>0</v>
      </c>
      <c r="DD607" s="1713"/>
      <c r="DE607" s="1713"/>
      <c r="DF607" s="1713"/>
      <c r="DG607" s="1713"/>
      <c r="DH607" s="1713">
        <f t="shared" si="14"/>
        <v>0</v>
      </c>
      <c r="DI607" s="1713"/>
      <c r="DJ607" s="1713"/>
      <c r="DK607" s="1713"/>
      <c r="DL607" s="1713"/>
      <c r="DM607" s="1713">
        <f t="shared" si="15"/>
        <v>0</v>
      </c>
      <c r="DN607" s="1713"/>
      <c r="DO607" s="1713"/>
      <c r="DP607" s="1713"/>
      <c r="DQ607" s="1713"/>
      <c r="DR607" s="1713">
        <f t="shared" si="16"/>
        <v>0</v>
      </c>
      <c r="DS607" s="1713"/>
      <c r="DT607" s="1713"/>
      <c r="DU607" s="1713"/>
      <c r="DV607" s="1713"/>
      <c r="DX607" s="1420" t="str">
        <f t="shared" si="17"/>
        <v xml:space="preserve"> </v>
      </c>
      <c r="DY607" s="1843"/>
      <c r="DZ607" s="1843"/>
      <c r="EA607" s="1843"/>
      <c r="EB607" s="1421"/>
      <c r="EC607" s="1420" t="str">
        <f t="shared" si="18"/>
        <v xml:space="preserve"> </v>
      </c>
      <c r="ED607" s="1843"/>
      <c r="EE607" s="1843"/>
      <c r="EF607" s="1843"/>
      <c r="EG607" s="1421"/>
      <c r="EH607" s="1420" t="str">
        <f t="shared" si="19"/>
        <v xml:space="preserve"> </v>
      </c>
      <c r="EI607" s="1843"/>
      <c r="EJ607" s="1843"/>
      <c r="EK607" s="1843"/>
      <c r="EL607" s="1421"/>
      <c r="EM607" s="1420" t="str">
        <f t="shared" si="20"/>
        <v xml:space="preserve"> </v>
      </c>
      <c r="EN607" s="1843"/>
      <c r="EO607" s="1843"/>
      <c r="EP607" s="1843"/>
      <c r="EQ607" s="1421"/>
      <c r="ER607" s="1420" t="str">
        <f t="shared" si="21"/>
        <v xml:space="preserve"> </v>
      </c>
      <c r="ES607" s="1843"/>
      <c r="ET607" s="1843"/>
      <c r="EU607" s="1843"/>
      <c r="EV607" s="1421"/>
      <c r="EW607" s="1420" t="str">
        <f t="shared" si="22"/>
        <v xml:space="preserve"> </v>
      </c>
      <c r="EX607" s="1843"/>
      <c r="EY607" s="1843"/>
      <c r="EZ607" s="1843"/>
      <c r="FA607" s="1421"/>
    </row>
    <row r="608" spans="1:157" ht="12.9" customHeight="1">
      <c r="B608" t="s">
        <v>17</v>
      </c>
      <c r="G608" s="1395"/>
      <c r="H608" s="1395"/>
      <c r="I608" s="1395"/>
      <c r="J608" s="1395"/>
      <c r="K608" s="1395"/>
      <c r="L608" s="1395"/>
      <c r="M608" s="1395"/>
      <c r="N608" s="1395"/>
      <c r="O608" s="1395"/>
      <c r="P608" s="1395"/>
      <c r="Q608" s="1395"/>
      <c r="R608" s="1395"/>
      <c r="U608" t="s">
        <v>17</v>
      </c>
      <c r="Z608" s="1367"/>
      <c r="AA608" s="1367"/>
      <c r="AB608" s="1367"/>
      <c r="AC608" s="1367"/>
      <c r="AD608" s="1367"/>
      <c r="AE608" s="1367"/>
      <c r="AF608" s="1367"/>
      <c r="AG608" s="1367"/>
      <c r="AH608" s="1367"/>
      <c r="AI608" s="1367"/>
      <c r="AJ608" s="1367"/>
      <c r="AK608" s="1367"/>
      <c r="AZ608" s="3"/>
      <c r="BA608" s="3"/>
      <c r="BB608" s="3"/>
      <c r="BC608" s="3"/>
      <c r="BD608" s="3"/>
      <c r="BE608" s="1420">
        <f t="shared" si="1"/>
        <v>0</v>
      </c>
      <c r="BF608" s="1421"/>
      <c r="BG608" s="1494">
        <f t="shared" si="2"/>
        <v>0</v>
      </c>
      <c r="BH608" s="1495"/>
      <c r="BI608" s="1420">
        <f t="shared" si="3"/>
        <v>0</v>
      </c>
      <c r="BJ608" s="1421"/>
      <c r="BK608" s="1494">
        <f t="shared" si="4"/>
        <v>0</v>
      </c>
      <c r="BL608" s="1495"/>
      <c r="BM608" s="3"/>
      <c r="BN608" s="1505">
        <f t="shared" si="5"/>
        <v>0</v>
      </c>
      <c r="BO608" s="1506"/>
      <c r="BP608" s="1506"/>
      <c r="BQ608" s="1506"/>
      <c r="BR608" s="1507"/>
      <c r="BS608" s="1396">
        <f t="shared" si="6"/>
        <v>0</v>
      </c>
      <c r="BT608" s="1396"/>
      <c r="BU608" s="1396"/>
      <c r="BV608" s="1396"/>
      <c r="BW608" s="1396"/>
      <c r="BX608" s="1396">
        <f t="shared" si="7"/>
        <v>0</v>
      </c>
      <c r="BY608" s="1396"/>
      <c r="BZ608" s="1396"/>
      <c r="CA608" s="1396"/>
      <c r="CB608" s="1396"/>
      <c r="CC608" s="1396">
        <f t="shared" si="8"/>
        <v>0</v>
      </c>
      <c r="CD608" s="1396"/>
      <c r="CE608" s="1396"/>
      <c r="CF608" s="1396"/>
      <c r="CG608" s="1396"/>
      <c r="CH608" s="1396">
        <f t="shared" si="9"/>
        <v>0</v>
      </c>
      <c r="CI608" s="1396"/>
      <c r="CJ608" s="1396"/>
      <c r="CK608" s="1396"/>
      <c r="CL608" s="1396"/>
      <c r="CM608" s="1396">
        <f t="shared" si="10"/>
        <v>0</v>
      </c>
      <c r="CN608" s="1396"/>
      <c r="CO608" s="1396"/>
      <c r="CP608" s="1396"/>
      <c r="CQ608" s="1396"/>
      <c r="CR608" s="6"/>
      <c r="CS608" s="1713">
        <f t="shared" si="11"/>
        <v>0</v>
      </c>
      <c r="CT608" s="1713"/>
      <c r="CU608" s="1713"/>
      <c r="CV608" s="1713"/>
      <c r="CW608" s="1713"/>
      <c r="CX608" s="1713">
        <f t="shared" si="12"/>
        <v>0</v>
      </c>
      <c r="CY608" s="1713"/>
      <c r="CZ608" s="1713"/>
      <c r="DA608" s="1713"/>
      <c r="DB608" s="1713"/>
      <c r="DC608" s="1713">
        <f t="shared" si="13"/>
        <v>0</v>
      </c>
      <c r="DD608" s="1713"/>
      <c r="DE608" s="1713"/>
      <c r="DF608" s="1713"/>
      <c r="DG608" s="1713"/>
      <c r="DH608" s="1713">
        <f t="shared" si="14"/>
        <v>0</v>
      </c>
      <c r="DI608" s="1713"/>
      <c r="DJ608" s="1713"/>
      <c r="DK608" s="1713"/>
      <c r="DL608" s="1713"/>
      <c r="DM608" s="1713">
        <f t="shared" si="15"/>
        <v>0</v>
      </c>
      <c r="DN608" s="1713"/>
      <c r="DO608" s="1713"/>
      <c r="DP608" s="1713"/>
      <c r="DQ608" s="1713"/>
      <c r="DR608" s="1713">
        <f t="shared" si="16"/>
        <v>0</v>
      </c>
      <c r="DS608" s="1713"/>
      <c r="DT608" s="1713"/>
      <c r="DU608" s="1713"/>
      <c r="DV608" s="1713"/>
      <c r="DX608" s="1420" t="str">
        <f t="shared" si="17"/>
        <v xml:space="preserve"> </v>
      </c>
      <c r="DY608" s="1843"/>
      <c r="DZ608" s="1843"/>
      <c r="EA608" s="1843"/>
      <c r="EB608" s="1421"/>
      <c r="EC608" s="1420" t="str">
        <f t="shared" si="18"/>
        <v xml:space="preserve"> </v>
      </c>
      <c r="ED608" s="1843"/>
      <c r="EE608" s="1843"/>
      <c r="EF608" s="1843"/>
      <c r="EG608" s="1421"/>
      <c r="EH608" s="1420" t="str">
        <f t="shared" si="19"/>
        <v xml:space="preserve"> </v>
      </c>
      <c r="EI608" s="1843"/>
      <c r="EJ608" s="1843"/>
      <c r="EK608" s="1843"/>
      <c r="EL608" s="1421"/>
      <c r="EM608" s="1420" t="str">
        <f t="shared" si="20"/>
        <v xml:space="preserve"> </v>
      </c>
      <c r="EN608" s="1843"/>
      <c r="EO608" s="1843"/>
      <c r="EP608" s="1843"/>
      <c r="EQ608" s="1421"/>
      <c r="ER608" s="1420" t="str">
        <f t="shared" si="21"/>
        <v xml:space="preserve"> </v>
      </c>
      <c r="ES608" s="1843"/>
      <c r="ET608" s="1843"/>
      <c r="EU608" s="1843"/>
      <c r="EV608" s="1421"/>
      <c r="EW608" s="1420" t="str">
        <f t="shared" si="22"/>
        <v xml:space="preserve"> </v>
      </c>
      <c r="EX608" s="1843"/>
      <c r="EY608" s="1843"/>
      <c r="EZ608" s="1843"/>
      <c r="FA608" s="1421"/>
    </row>
    <row r="609" spans="1:157" ht="12.9" customHeight="1">
      <c r="B609" t="s">
        <v>318</v>
      </c>
      <c r="G609" s="1436"/>
      <c r="H609" s="1436"/>
      <c r="I609" s="1436"/>
      <c r="J609" s="1436"/>
      <c r="K609" s="1436"/>
      <c r="L609" s="1436"/>
      <c r="O609" s="33" t="s">
        <v>208</v>
      </c>
      <c r="P609" s="1462"/>
      <c r="Q609" s="1462"/>
      <c r="R609" s="1462"/>
      <c r="U609" t="s">
        <v>318</v>
      </c>
      <c r="Z609" s="1436"/>
      <c r="AA609" s="1436"/>
      <c r="AB609" s="1436"/>
      <c r="AC609" s="1436"/>
      <c r="AD609" s="1436"/>
      <c r="AE609" s="1436"/>
      <c r="AH609" s="33" t="s">
        <v>208</v>
      </c>
      <c r="AI609" s="1462"/>
      <c r="AJ609" s="1462"/>
      <c r="AK609" s="1462"/>
      <c r="AZ609" s="3"/>
      <c r="BA609" s="3"/>
      <c r="BB609" s="3"/>
      <c r="BC609" s="3"/>
      <c r="BD609" s="3"/>
      <c r="BE609" s="1420">
        <f t="shared" si="1"/>
        <v>0</v>
      </c>
      <c r="BF609" s="1421"/>
      <c r="BG609" s="1494">
        <f t="shared" si="2"/>
        <v>0</v>
      </c>
      <c r="BH609" s="1495"/>
      <c r="BI609" s="1420">
        <f t="shared" si="3"/>
        <v>0</v>
      </c>
      <c r="BJ609" s="1421"/>
      <c r="BK609" s="1494">
        <f t="shared" si="4"/>
        <v>0</v>
      </c>
      <c r="BL609" s="1495"/>
      <c r="BM609" s="3"/>
      <c r="BN609" s="1505">
        <f t="shared" si="5"/>
        <v>0</v>
      </c>
      <c r="BO609" s="1506"/>
      <c r="BP609" s="1506"/>
      <c r="BQ609" s="1506"/>
      <c r="BR609" s="1507"/>
      <c r="BS609" s="1396">
        <f t="shared" si="6"/>
        <v>0</v>
      </c>
      <c r="BT609" s="1396"/>
      <c r="BU609" s="1396"/>
      <c r="BV609" s="1396"/>
      <c r="BW609" s="1396"/>
      <c r="BX609" s="1396">
        <f t="shared" si="7"/>
        <v>0</v>
      </c>
      <c r="BY609" s="1396"/>
      <c r="BZ609" s="1396"/>
      <c r="CA609" s="1396"/>
      <c r="CB609" s="1396"/>
      <c r="CC609" s="1396">
        <f t="shared" si="8"/>
        <v>0</v>
      </c>
      <c r="CD609" s="1396"/>
      <c r="CE609" s="1396"/>
      <c r="CF609" s="1396"/>
      <c r="CG609" s="1396"/>
      <c r="CH609" s="1396">
        <f t="shared" si="9"/>
        <v>0</v>
      </c>
      <c r="CI609" s="1396"/>
      <c r="CJ609" s="1396"/>
      <c r="CK609" s="1396"/>
      <c r="CL609" s="1396"/>
      <c r="CM609" s="1396">
        <f t="shared" si="10"/>
        <v>0</v>
      </c>
      <c r="CN609" s="1396"/>
      <c r="CO609" s="1396"/>
      <c r="CP609" s="1396"/>
      <c r="CQ609" s="1396"/>
      <c r="CR609" s="6"/>
      <c r="CS609" s="1713">
        <f t="shared" si="11"/>
        <v>0</v>
      </c>
      <c r="CT609" s="1713"/>
      <c r="CU609" s="1713"/>
      <c r="CV609" s="1713"/>
      <c r="CW609" s="1713"/>
      <c r="CX609" s="1713">
        <f t="shared" si="12"/>
        <v>0</v>
      </c>
      <c r="CY609" s="1713"/>
      <c r="CZ609" s="1713"/>
      <c r="DA609" s="1713"/>
      <c r="DB609" s="1713"/>
      <c r="DC609" s="1713">
        <f t="shared" si="13"/>
        <v>0</v>
      </c>
      <c r="DD609" s="1713"/>
      <c r="DE609" s="1713"/>
      <c r="DF609" s="1713"/>
      <c r="DG609" s="1713"/>
      <c r="DH609" s="1713">
        <f t="shared" si="14"/>
        <v>0</v>
      </c>
      <c r="DI609" s="1713"/>
      <c r="DJ609" s="1713"/>
      <c r="DK609" s="1713"/>
      <c r="DL609" s="1713"/>
      <c r="DM609" s="1713">
        <f t="shared" si="15"/>
        <v>0</v>
      </c>
      <c r="DN609" s="1713"/>
      <c r="DO609" s="1713"/>
      <c r="DP609" s="1713"/>
      <c r="DQ609" s="1713"/>
      <c r="DR609" s="1713">
        <f t="shared" si="16"/>
        <v>0</v>
      </c>
      <c r="DS609" s="1713"/>
      <c r="DT609" s="1713"/>
      <c r="DU609" s="1713"/>
      <c r="DV609" s="1713"/>
      <c r="DX609" s="1420" t="str">
        <f t="shared" si="17"/>
        <v xml:space="preserve"> </v>
      </c>
      <c r="DY609" s="1843"/>
      <c r="DZ609" s="1843"/>
      <c r="EA609" s="1843"/>
      <c r="EB609" s="1421"/>
      <c r="EC609" s="1420" t="str">
        <f t="shared" si="18"/>
        <v xml:space="preserve"> </v>
      </c>
      <c r="ED609" s="1843"/>
      <c r="EE609" s="1843"/>
      <c r="EF609" s="1843"/>
      <c r="EG609" s="1421"/>
      <c r="EH609" s="1420" t="str">
        <f t="shared" si="19"/>
        <v xml:space="preserve"> </v>
      </c>
      <c r="EI609" s="1843"/>
      <c r="EJ609" s="1843"/>
      <c r="EK609" s="1843"/>
      <c r="EL609" s="1421"/>
      <c r="EM609" s="1420" t="str">
        <f t="shared" si="20"/>
        <v xml:space="preserve"> </v>
      </c>
      <c r="EN609" s="1843"/>
      <c r="EO609" s="1843"/>
      <c r="EP609" s="1843"/>
      <c r="EQ609" s="1421"/>
      <c r="ER609" s="1420" t="str">
        <f t="shared" si="21"/>
        <v xml:space="preserve"> </v>
      </c>
      <c r="ES609" s="1843"/>
      <c r="ET609" s="1843"/>
      <c r="EU609" s="1843"/>
      <c r="EV609" s="1421"/>
      <c r="EW609" s="1420" t="str">
        <f t="shared" si="22"/>
        <v xml:space="preserve"> </v>
      </c>
      <c r="EX609" s="1843"/>
      <c r="EY609" s="1843"/>
      <c r="EZ609" s="1843"/>
      <c r="FA609" s="1421"/>
    </row>
    <row r="610" spans="1:157" ht="12.9" customHeight="1">
      <c r="B610" t="s">
        <v>18</v>
      </c>
      <c r="H610" s="1395"/>
      <c r="I610" s="1395"/>
      <c r="J610" s="1395"/>
      <c r="K610" s="1395"/>
      <c r="L610" s="1395"/>
      <c r="M610" s="1395"/>
      <c r="N610" s="1395"/>
      <c r="O610" s="1395"/>
      <c r="P610" s="1395"/>
      <c r="Q610" s="1395"/>
      <c r="R610" s="1395"/>
      <c r="U610" t="s">
        <v>18</v>
      </c>
      <c r="AA610" s="1395"/>
      <c r="AB610" s="1395"/>
      <c r="AC610" s="1395"/>
      <c r="AD610" s="1395"/>
      <c r="AE610" s="1395"/>
      <c r="AF610" s="1395"/>
      <c r="AG610" s="1395"/>
      <c r="AH610" s="1395"/>
      <c r="AI610" s="1395"/>
      <c r="AJ610" s="1395"/>
      <c r="AK610" s="1395"/>
      <c r="AZ610" s="3"/>
      <c r="BA610" s="3"/>
      <c r="BB610" s="3"/>
      <c r="BC610" s="3"/>
      <c r="BD610" s="3"/>
      <c r="BE610" s="1420">
        <f t="shared" si="1"/>
        <v>0</v>
      </c>
      <c r="BF610" s="1421"/>
      <c r="BG610" s="1494">
        <f t="shared" si="2"/>
        <v>0</v>
      </c>
      <c r="BH610" s="1495"/>
      <c r="BI610" s="1420">
        <f t="shared" si="3"/>
        <v>0</v>
      </c>
      <c r="BJ610" s="1421"/>
      <c r="BK610" s="1494">
        <f t="shared" si="4"/>
        <v>0</v>
      </c>
      <c r="BL610" s="1495"/>
      <c r="BM610" s="3"/>
      <c r="BN610" s="1505">
        <f t="shared" si="5"/>
        <v>0</v>
      </c>
      <c r="BO610" s="1506"/>
      <c r="BP610" s="1506"/>
      <c r="BQ610" s="1506"/>
      <c r="BR610" s="1507"/>
      <c r="BS610" s="1396">
        <f t="shared" si="6"/>
        <v>0</v>
      </c>
      <c r="BT610" s="1396"/>
      <c r="BU610" s="1396"/>
      <c r="BV610" s="1396"/>
      <c r="BW610" s="1396"/>
      <c r="BX610" s="1396">
        <f t="shared" si="7"/>
        <v>0</v>
      </c>
      <c r="BY610" s="1396"/>
      <c r="BZ610" s="1396"/>
      <c r="CA610" s="1396"/>
      <c r="CB610" s="1396"/>
      <c r="CC610" s="1396">
        <f t="shared" si="8"/>
        <v>0</v>
      </c>
      <c r="CD610" s="1396"/>
      <c r="CE610" s="1396"/>
      <c r="CF610" s="1396"/>
      <c r="CG610" s="1396"/>
      <c r="CH610" s="1396">
        <f t="shared" si="9"/>
        <v>0</v>
      </c>
      <c r="CI610" s="1396"/>
      <c r="CJ610" s="1396"/>
      <c r="CK610" s="1396"/>
      <c r="CL610" s="1396"/>
      <c r="CM610" s="1396">
        <f t="shared" si="10"/>
        <v>0</v>
      </c>
      <c r="CN610" s="1396"/>
      <c r="CO610" s="1396"/>
      <c r="CP610" s="1396"/>
      <c r="CQ610" s="1396"/>
      <c r="CR610" s="6"/>
      <c r="CS610" s="1713">
        <f t="shared" si="11"/>
        <v>0</v>
      </c>
      <c r="CT610" s="1713"/>
      <c r="CU610" s="1713"/>
      <c r="CV610" s="1713"/>
      <c r="CW610" s="1713"/>
      <c r="CX610" s="1713">
        <f t="shared" si="12"/>
        <v>0</v>
      </c>
      <c r="CY610" s="1713"/>
      <c r="CZ610" s="1713"/>
      <c r="DA610" s="1713"/>
      <c r="DB610" s="1713"/>
      <c r="DC610" s="1713">
        <f t="shared" si="13"/>
        <v>0</v>
      </c>
      <c r="DD610" s="1713"/>
      <c r="DE610" s="1713"/>
      <c r="DF610" s="1713"/>
      <c r="DG610" s="1713"/>
      <c r="DH610" s="1713">
        <f t="shared" si="14"/>
        <v>0</v>
      </c>
      <c r="DI610" s="1713"/>
      <c r="DJ610" s="1713"/>
      <c r="DK610" s="1713"/>
      <c r="DL610" s="1713"/>
      <c r="DM610" s="1713">
        <f t="shared" si="15"/>
        <v>0</v>
      </c>
      <c r="DN610" s="1713"/>
      <c r="DO610" s="1713"/>
      <c r="DP610" s="1713"/>
      <c r="DQ610" s="1713"/>
      <c r="DR610" s="1713">
        <f t="shared" si="16"/>
        <v>0</v>
      </c>
      <c r="DS610" s="1713"/>
      <c r="DT610" s="1713"/>
      <c r="DU610" s="1713"/>
      <c r="DV610" s="1713"/>
      <c r="DX610" s="1420" t="str">
        <f t="shared" si="17"/>
        <v xml:space="preserve"> </v>
      </c>
      <c r="DY610" s="1843"/>
      <c r="DZ610" s="1843"/>
      <c r="EA610" s="1843"/>
      <c r="EB610" s="1421"/>
      <c r="EC610" s="1420" t="str">
        <f t="shared" si="18"/>
        <v xml:space="preserve"> </v>
      </c>
      <c r="ED610" s="1843"/>
      <c r="EE610" s="1843"/>
      <c r="EF610" s="1843"/>
      <c r="EG610" s="1421"/>
      <c r="EH610" s="1420" t="str">
        <f t="shared" si="19"/>
        <v xml:space="preserve"> </v>
      </c>
      <c r="EI610" s="1843"/>
      <c r="EJ610" s="1843"/>
      <c r="EK610" s="1843"/>
      <c r="EL610" s="1421"/>
      <c r="EM610" s="1420" t="str">
        <f t="shared" si="20"/>
        <v xml:space="preserve"> </v>
      </c>
      <c r="EN610" s="1843"/>
      <c r="EO610" s="1843"/>
      <c r="EP610" s="1843"/>
      <c r="EQ610" s="1421"/>
      <c r="ER610" s="1420" t="str">
        <f t="shared" si="21"/>
        <v xml:space="preserve"> </v>
      </c>
      <c r="ES610" s="1843"/>
      <c r="ET610" s="1843"/>
      <c r="EU610" s="1843"/>
      <c r="EV610" s="1421"/>
      <c r="EW610" s="1420" t="str">
        <f t="shared" si="22"/>
        <v xml:space="preserve"> </v>
      </c>
      <c r="EX610" s="1843"/>
      <c r="EY610" s="1843"/>
      <c r="EZ610" s="1843"/>
      <c r="FA610" s="1421"/>
    </row>
    <row r="611" spans="1:157" ht="12.9" customHeight="1">
      <c r="B611" t="s">
        <v>20</v>
      </c>
      <c r="N611" s="1374" t="s">
        <v>679</v>
      </c>
      <c r="O611" s="1374"/>
      <c r="U611" t="s">
        <v>20</v>
      </c>
      <c r="AG611" s="1374" t="s">
        <v>679</v>
      </c>
      <c r="AH611" s="1374"/>
      <c r="AZ611" s="3"/>
      <c r="BA611" s="3"/>
      <c r="BB611" s="3"/>
      <c r="BC611" s="3"/>
      <c r="BD611" s="3"/>
      <c r="BE611" s="1420">
        <f t="shared" si="1"/>
        <v>0</v>
      </c>
      <c r="BF611" s="1421"/>
      <c r="BG611" s="1494">
        <f t="shared" si="2"/>
        <v>0</v>
      </c>
      <c r="BH611" s="1495"/>
      <c r="BI611" s="1420">
        <f t="shared" si="3"/>
        <v>0</v>
      </c>
      <c r="BJ611" s="1421"/>
      <c r="BK611" s="1494">
        <f t="shared" si="4"/>
        <v>0</v>
      </c>
      <c r="BL611" s="1495"/>
      <c r="BM611" s="3"/>
      <c r="BN611" s="1505">
        <f t="shared" si="5"/>
        <v>0</v>
      </c>
      <c r="BO611" s="1506"/>
      <c r="BP611" s="1506"/>
      <c r="BQ611" s="1506"/>
      <c r="BR611" s="1507"/>
      <c r="BS611" s="1396">
        <f t="shared" si="6"/>
        <v>0</v>
      </c>
      <c r="BT611" s="1396"/>
      <c r="BU611" s="1396"/>
      <c r="BV611" s="1396"/>
      <c r="BW611" s="1396"/>
      <c r="BX611" s="1396">
        <f t="shared" si="7"/>
        <v>0</v>
      </c>
      <c r="BY611" s="1396"/>
      <c r="BZ611" s="1396"/>
      <c r="CA611" s="1396"/>
      <c r="CB611" s="1396"/>
      <c r="CC611" s="1396">
        <f t="shared" si="8"/>
        <v>0</v>
      </c>
      <c r="CD611" s="1396"/>
      <c r="CE611" s="1396"/>
      <c r="CF611" s="1396"/>
      <c r="CG611" s="1396"/>
      <c r="CH611" s="1396">
        <f t="shared" si="9"/>
        <v>0</v>
      </c>
      <c r="CI611" s="1396"/>
      <c r="CJ611" s="1396"/>
      <c r="CK611" s="1396"/>
      <c r="CL611" s="1396"/>
      <c r="CM611" s="1396">
        <f t="shared" si="10"/>
        <v>0</v>
      </c>
      <c r="CN611" s="1396"/>
      <c r="CO611" s="1396"/>
      <c r="CP611" s="1396"/>
      <c r="CQ611" s="1396"/>
      <c r="CR611" s="6"/>
      <c r="CS611" s="1713">
        <f t="shared" si="11"/>
        <v>0</v>
      </c>
      <c r="CT611" s="1713"/>
      <c r="CU611" s="1713"/>
      <c r="CV611" s="1713"/>
      <c r="CW611" s="1713"/>
      <c r="CX611" s="1713">
        <f t="shared" si="12"/>
        <v>0</v>
      </c>
      <c r="CY611" s="1713"/>
      <c r="CZ611" s="1713"/>
      <c r="DA611" s="1713"/>
      <c r="DB611" s="1713"/>
      <c r="DC611" s="1713">
        <f t="shared" si="13"/>
        <v>0</v>
      </c>
      <c r="DD611" s="1713"/>
      <c r="DE611" s="1713"/>
      <c r="DF611" s="1713"/>
      <c r="DG611" s="1713"/>
      <c r="DH611" s="1713">
        <f t="shared" si="14"/>
        <v>0</v>
      </c>
      <c r="DI611" s="1713"/>
      <c r="DJ611" s="1713"/>
      <c r="DK611" s="1713"/>
      <c r="DL611" s="1713"/>
      <c r="DM611" s="1713">
        <f t="shared" si="15"/>
        <v>0</v>
      </c>
      <c r="DN611" s="1713"/>
      <c r="DO611" s="1713"/>
      <c r="DP611" s="1713"/>
      <c r="DQ611" s="1713"/>
      <c r="DR611" s="1713">
        <f t="shared" si="16"/>
        <v>0</v>
      </c>
      <c r="DS611" s="1713"/>
      <c r="DT611" s="1713"/>
      <c r="DU611" s="1713"/>
      <c r="DV611" s="1713"/>
      <c r="DX611" s="1420" t="str">
        <f t="shared" si="17"/>
        <v xml:space="preserve"> </v>
      </c>
      <c r="DY611" s="1843"/>
      <c r="DZ611" s="1843"/>
      <c r="EA611" s="1843"/>
      <c r="EB611" s="1421"/>
      <c r="EC611" s="1420" t="str">
        <f t="shared" si="18"/>
        <v xml:space="preserve"> </v>
      </c>
      <c r="ED611" s="1843"/>
      <c r="EE611" s="1843"/>
      <c r="EF611" s="1843"/>
      <c r="EG611" s="1421"/>
      <c r="EH611" s="1420" t="str">
        <f t="shared" si="19"/>
        <v xml:space="preserve"> </v>
      </c>
      <c r="EI611" s="1843"/>
      <c r="EJ611" s="1843"/>
      <c r="EK611" s="1843"/>
      <c r="EL611" s="1421"/>
      <c r="EM611" s="1420" t="str">
        <f t="shared" si="20"/>
        <v xml:space="preserve"> </v>
      </c>
      <c r="EN611" s="1843"/>
      <c r="EO611" s="1843"/>
      <c r="EP611" s="1843"/>
      <c r="EQ611" s="1421"/>
      <c r="ER611" s="1420" t="str">
        <f t="shared" si="21"/>
        <v xml:space="preserve"> </v>
      </c>
      <c r="ES611" s="1843"/>
      <c r="ET611" s="1843"/>
      <c r="EU611" s="1843"/>
      <c r="EV611" s="1421"/>
      <c r="EW611" s="1420" t="str">
        <f t="shared" si="22"/>
        <v xml:space="preserve"> </v>
      </c>
      <c r="EX611" s="1843"/>
      <c r="EY611" s="1843"/>
      <c r="EZ611" s="1843"/>
      <c r="FA611" s="1421"/>
    </row>
    <row r="612" spans="1:157" ht="12.9" customHeight="1">
      <c r="AZ612" s="3"/>
      <c r="BA612" s="3"/>
      <c r="BB612" s="3"/>
      <c r="BC612" s="3"/>
      <c r="BD612" s="3"/>
      <c r="BE612" s="1420">
        <f t="shared" si="1"/>
        <v>0</v>
      </c>
      <c r="BF612" s="1421"/>
      <c r="BG612" s="1494">
        <f t="shared" si="2"/>
        <v>0</v>
      </c>
      <c r="BH612" s="1495"/>
      <c r="BI612" s="1420">
        <f t="shared" si="3"/>
        <v>0</v>
      </c>
      <c r="BJ612" s="1421"/>
      <c r="BK612" s="1494">
        <f t="shared" si="4"/>
        <v>0</v>
      </c>
      <c r="BL612" s="1495"/>
      <c r="BM612" s="3"/>
      <c r="BN612" s="1505">
        <f t="shared" si="5"/>
        <v>0</v>
      </c>
      <c r="BO612" s="1506"/>
      <c r="BP612" s="1506"/>
      <c r="BQ612" s="1506"/>
      <c r="BR612" s="1507"/>
      <c r="BS612" s="1396">
        <f t="shared" si="6"/>
        <v>0</v>
      </c>
      <c r="BT612" s="1396"/>
      <c r="BU612" s="1396"/>
      <c r="BV612" s="1396"/>
      <c r="BW612" s="1396"/>
      <c r="BX612" s="1396">
        <f t="shared" si="7"/>
        <v>0</v>
      </c>
      <c r="BY612" s="1396"/>
      <c r="BZ612" s="1396"/>
      <c r="CA612" s="1396"/>
      <c r="CB612" s="1396"/>
      <c r="CC612" s="1396">
        <f t="shared" si="8"/>
        <v>0</v>
      </c>
      <c r="CD612" s="1396"/>
      <c r="CE612" s="1396"/>
      <c r="CF612" s="1396"/>
      <c r="CG612" s="1396"/>
      <c r="CH612" s="1396">
        <f t="shared" si="9"/>
        <v>0</v>
      </c>
      <c r="CI612" s="1396"/>
      <c r="CJ612" s="1396"/>
      <c r="CK612" s="1396"/>
      <c r="CL612" s="1396"/>
      <c r="CM612" s="1396">
        <f t="shared" si="10"/>
        <v>0</v>
      </c>
      <c r="CN612" s="1396"/>
      <c r="CO612" s="1396"/>
      <c r="CP612" s="1396"/>
      <c r="CQ612" s="1396"/>
      <c r="CR612" s="6"/>
      <c r="CS612" s="1713">
        <f t="shared" si="11"/>
        <v>0</v>
      </c>
      <c r="CT612" s="1713"/>
      <c r="CU612" s="1713"/>
      <c r="CV612" s="1713"/>
      <c r="CW612" s="1713"/>
      <c r="CX612" s="1713">
        <f t="shared" si="12"/>
        <v>0</v>
      </c>
      <c r="CY612" s="1713"/>
      <c r="CZ612" s="1713"/>
      <c r="DA612" s="1713"/>
      <c r="DB612" s="1713"/>
      <c r="DC612" s="1713">
        <f t="shared" si="13"/>
        <v>0</v>
      </c>
      <c r="DD612" s="1713"/>
      <c r="DE612" s="1713"/>
      <c r="DF612" s="1713"/>
      <c r="DG612" s="1713"/>
      <c r="DH612" s="1713">
        <f t="shared" si="14"/>
        <v>0</v>
      </c>
      <c r="DI612" s="1713"/>
      <c r="DJ612" s="1713"/>
      <c r="DK612" s="1713"/>
      <c r="DL612" s="1713"/>
      <c r="DM612" s="1713">
        <f t="shared" si="15"/>
        <v>0</v>
      </c>
      <c r="DN612" s="1713"/>
      <c r="DO612" s="1713"/>
      <c r="DP612" s="1713"/>
      <c r="DQ612" s="1713"/>
      <c r="DR612" s="1713">
        <f t="shared" si="16"/>
        <v>0</v>
      </c>
      <c r="DS612" s="1713"/>
      <c r="DT612" s="1713"/>
      <c r="DU612" s="1713"/>
      <c r="DV612" s="1713"/>
      <c r="DX612" s="1420" t="str">
        <f t="shared" si="17"/>
        <v xml:space="preserve"> </v>
      </c>
      <c r="DY612" s="1843"/>
      <c r="DZ612" s="1843"/>
      <c r="EA612" s="1843"/>
      <c r="EB612" s="1421"/>
      <c r="EC612" s="1420" t="str">
        <f t="shared" si="18"/>
        <v xml:space="preserve"> </v>
      </c>
      <c r="ED612" s="1843"/>
      <c r="EE612" s="1843"/>
      <c r="EF612" s="1843"/>
      <c r="EG612" s="1421"/>
      <c r="EH612" s="1420" t="str">
        <f t="shared" si="19"/>
        <v xml:space="preserve"> </v>
      </c>
      <c r="EI612" s="1843"/>
      <c r="EJ612" s="1843"/>
      <c r="EK612" s="1843"/>
      <c r="EL612" s="1421"/>
      <c r="EM612" s="1420" t="str">
        <f t="shared" si="20"/>
        <v xml:space="preserve"> </v>
      </c>
      <c r="EN612" s="1843"/>
      <c r="EO612" s="1843"/>
      <c r="EP612" s="1843"/>
      <c r="EQ612" s="1421"/>
      <c r="ER612" s="1420" t="str">
        <f t="shared" si="21"/>
        <v xml:space="preserve"> </v>
      </c>
      <c r="ES612" s="1843"/>
      <c r="ET612" s="1843"/>
      <c r="EU612" s="1843"/>
      <c r="EV612" s="1421"/>
      <c r="EW612" s="1420" t="str">
        <f t="shared" si="22"/>
        <v xml:space="preserve"> </v>
      </c>
      <c r="EX612" s="1843"/>
      <c r="EY612" s="1843"/>
      <c r="EZ612" s="1843"/>
      <c r="FA612" s="1421"/>
    </row>
    <row r="613" spans="1:157" ht="12.9" customHeight="1">
      <c r="A613" s="1271" t="s">
        <v>554</v>
      </c>
      <c r="B613" s="1271"/>
      <c r="C613" s="1271"/>
      <c r="D613" s="1271"/>
      <c r="E613" s="1271"/>
      <c r="F613" s="1271"/>
      <c r="G613" s="1271"/>
      <c r="H613" s="1271"/>
      <c r="I613" s="1271"/>
      <c r="J613" s="1271"/>
      <c r="K613" s="1271"/>
      <c r="L613" s="1271"/>
      <c r="M613" s="1271"/>
      <c r="N613" s="1271"/>
      <c r="O613" s="1271"/>
      <c r="P613" s="1271"/>
      <c r="Q613" s="1271"/>
      <c r="R613" s="1271"/>
      <c r="S613" s="1271"/>
      <c r="T613" s="1271"/>
      <c r="U613" s="1271"/>
      <c r="V613" s="1271"/>
      <c r="W613" s="1271"/>
      <c r="X613" s="1271"/>
      <c r="Y613" s="1271"/>
      <c r="Z613" s="1271"/>
      <c r="AA613" s="1271"/>
      <c r="AB613" s="1271"/>
      <c r="AC613" s="1271"/>
      <c r="AD613" s="1271"/>
      <c r="AE613" s="1271"/>
      <c r="AF613" s="1271"/>
      <c r="AG613" s="1271"/>
      <c r="AH613" s="1271"/>
      <c r="AI613" s="1271"/>
      <c r="AJ613" s="1271"/>
      <c r="AK613" s="1271"/>
      <c r="AL613" s="1271"/>
      <c r="AM613" s="1271"/>
      <c r="AN613" s="1271"/>
      <c r="AO613" s="1271"/>
      <c r="AP613" s="1271"/>
      <c r="AQ613" s="1271"/>
      <c r="AR613" s="1271"/>
      <c r="AS613" s="1271"/>
      <c r="AT613" s="936"/>
      <c r="AU613" s="936"/>
      <c r="AV613" s="936"/>
      <c r="AW613" s="936"/>
      <c r="AX613" s="936"/>
      <c r="AY613" s="936"/>
      <c r="AZ613" s="3"/>
      <c r="BA613" s="3"/>
      <c r="BB613" s="3"/>
      <c r="BC613" s="3"/>
      <c r="BD613" s="3"/>
      <c r="BE613" s="1420">
        <f t="shared" si="1"/>
        <v>0</v>
      </c>
      <c r="BF613" s="1421"/>
      <c r="BG613" s="1494">
        <f t="shared" si="2"/>
        <v>0</v>
      </c>
      <c r="BH613" s="1495"/>
      <c r="BI613" s="1420">
        <f t="shared" si="3"/>
        <v>0</v>
      </c>
      <c r="BJ613" s="1421"/>
      <c r="BK613" s="1494">
        <f t="shared" si="4"/>
        <v>0</v>
      </c>
      <c r="BL613" s="1495"/>
      <c r="BM613" s="3"/>
      <c r="BN613" s="1505">
        <f t="shared" si="5"/>
        <v>0</v>
      </c>
      <c r="BO613" s="1506"/>
      <c r="BP613" s="1506"/>
      <c r="BQ613" s="1506"/>
      <c r="BR613" s="1507"/>
      <c r="BS613" s="1396">
        <f t="shared" si="6"/>
        <v>0</v>
      </c>
      <c r="BT613" s="1396"/>
      <c r="BU613" s="1396"/>
      <c r="BV613" s="1396"/>
      <c r="BW613" s="1396"/>
      <c r="BX613" s="1396">
        <f t="shared" si="7"/>
        <v>0</v>
      </c>
      <c r="BY613" s="1396"/>
      <c r="BZ613" s="1396"/>
      <c r="CA613" s="1396"/>
      <c r="CB613" s="1396"/>
      <c r="CC613" s="1396">
        <f t="shared" si="8"/>
        <v>0</v>
      </c>
      <c r="CD613" s="1396"/>
      <c r="CE613" s="1396"/>
      <c r="CF613" s="1396"/>
      <c r="CG613" s="1396"/>
      <c r="CH613" s="1396">
        <f t="shared" si="9"/>
        <v>0</v>
      </c>
      <c r="CI613" s="1396"/>
      <c r="CJ613" s="1396"/>
      <c r="CK613" s="1396"/>
      <c r="CL613" s="1396"/>
      <c r="CM613" s="1396">
        <f t="shared" si="10"/>
        <v>0</v>
      </c>
      <c r="CN613" s="1396"/>
      <c r="CO613" s="1396"/>
      <c r="CP613" s="1396"/>
      <c r="CQ613" s="1396"/>
      <c r="CR613" s="6"/>
      <c r="CS613" s="1713">
        <f t="shared" si="11"/>
        <v>0</v>
      </c>
      <c r="CT613" s="1713"/>
      <c r="CU613" s="1713"/>
      <c r="CV613" s="1713"/>
      <c r="CW613" s="1713"/>
      <c r="CX613" s="1713">
        <f t="shared" si="12"/>
        <v>0</v>
      </c>
      <c r="CY613" s="1713"/>
      <c r="CZ613" s="1713"/>
      <c r="DA613" s="1713"/>
      <c r="DB613" s="1713"/>
      <c r="DC613" s="1713">
        <f t="shared" si="13"/>
        <v>0</v>
      </c>
      <c r="DD613" s="1713"/>
      <c r="DE613" s="1713"/>
      <c r="DF613" s="1713"/>
      <c r="DG613" s="1713"/>
      <c r="DH613" s="1713">
        <f t="shared" si="14"/>
        <v>0</v>
      </c>
      <c r="DI613" s="1713"/>
      <c r="DJ613" s="1713"/>
      <c r="DK613" s="1713"/>
      <c r="DL613" s="1713"/>
      <c r="DM613" s="1713">
        <f t="shared" si="15"/>
        <v>0</v>
      </c>
      <c r="DN613" s="1713"/>
      <c r="DO613" s="1713"/>
      <c r="DP613" s="1713"/>
      <c r="DQ613" s="1713"/>
      <c r="DR613" s="1713">
        <f t="shared" si="16"/>
        <v>0</v>
      </c>
      <c r="DS613" s="1713"/>
      <c r="DT613" s="1713"/>
      <c r="DU613" s="1713"/>
      <c r="DV613" s="1713"/>
      <c r="DX613" s="1420" t="str">
        <f t="shared" si="17"/>
        <v xml:space="preserve"> </v>
      </c>
      <c r="DY613" s="1843"/>
      <c r="DZ613" s="1843"/>
      <c r="EA613" s="1843"/>
      <c r="EB613" s="1421"/>
      <c r="EC613" s="1420" t="str">
        <f t="shared" si="18"/>
        <v xml:space="preserve"> </v>
      </c>
      <c r="ED613" s="1843"/>
      <c r="EE613" s="1843"/>
      <c r="EF613" s="1843"/>
      <c r="EG613" s="1421"/>
      <c r="EH613" s="1420" t="str">
        <f t="shared" si="19"/>
        <v xml:space="preserve"> </v>
      </c>
      <c r="EI613" s="1843"/>
      <c r="EJ613" s="1843"/>
      <c r="EK613" s="1843"/>
      <c r="EL613" s="1421"/>
      <c r="EM613" s="1420" t="str">
        <f t="shared" si="20"/>
        <v xml:space="preserve"> </v>
      </c>
      <c r="EN613" s="1843"/>
      <c r="EO613" s="1843"/>
      <c r="EP613" s="1843"/>
      <c r="EQ613" s="1421"/>
      <c r="ER613" s="1420" t="str">
        <f t="shared" si="21"/>
        <v xml:space="preserve"> </v>
      </c>
      <c r="ES613" s="1843"/>
      <c r="ET613" s="1843"/>
      <c r="EU613" s="1843"/>
      <c r="EV613" s="1421"/>
      <c r="EW613" s="1420" t="str">
        <f t="shared" si="22"/>
        <v xml:space="preserve"> </v>
      </c>
      <c r="EX613" s="1843"/>
      <c r="EY613" s="1843"/>
      <c r="EZ613" s="1843"/>
      <c r="FA613" s="1421"/>
    </row>
    <row r="614" spans="1:157" ht="12.9" customHeight="1">
      <c r="A614" s="1271"/>
      <c r="B614" s="1271"/>
      <c r="C614" s="1271"/>
      <c r="D614" s="1271"/>
      <c r="E614" s="1271"/>
      <c r="F614" s="1271"/>
      <c r="G614" s="1271"/>
      <c r="H614" s="1271"/>
      <c r="I614" s="1271"/>
      <c r="J614" s="1271"/>
      <c r="K614" s="1271"/>
      <c r="L614" s="1271"/>
      <c r="M614" s="1271"/>
      <c r="N614" s="1271"/>
      <c r="O614" s="1271"/>
      <c r="P614" s="1271"/>
      <c r="Q614" s="1271"/>
      <c r="R614" s="1271"/>
      <c r="S614" s="1271"/>
      <c r="T614" s="1271"/>
      <c r="U614" s="1271"/>
      <c r="V614" s="1271"/>
      <c r="W614" s="1271"/>
      <c r="X614" s="1271"/>
      <c r="Y614" s="1271"/>
      <c r="Z614" s="1271"/>
      <c r="AA614" s="1271"/>
      <c r="AB614" s="1271"/>
      <c r="AC614" s="1271"/>
      <c r="AD614" s="1271"/>
      <c r="AE614" s="1271"/>
      <c r="AF614" s="1271"/>
      <c r="AG614" s="1271"/>
      <c r="AH614" s="1271"/>
      <c r="AI614" s="1271"/>
      <c r="AJ614" s="1271"/>
      <c r="AK614" s="1271"/>
      <c r="AL614" s="1271"/>
      <c r="AM614" s="1271"/>
      <c r="AN614" s="1271"/>
      <c r="AO614" s="1271"/>
      <c r="AP614" s="1271"/>
      <c r="AQ614" s="1271"/>
      <c r="AR614" s="1271"/>
      <c r="AS614" s="1271"/>
      <c r="AT614" s="936"/>
      <c r="AU614" s="936"/>
      <c r="AV614" s="936"/>
      <c r="AW614" s="936"/>
      <c r="AX614" s="936"/>
      <c r="AY614" s="936"/>
      <c r="AZ614" s="3"/>
      <c r="BA614" s="3"/>
      <c r="BB614" s="3"/>
      <c r="BC614" s="3"/>
      <c r="BD614" s="3"/>
      <c r="BE614" s="1420">
        <f t="shared" si="1"/>
        <v>0</v>
      </c>
      <c r="BF614" s="1421"/>
      <c r="BG614" s="1494">
        <f t="shared" si="2"/>
        <v>0</v>
      </c>
      <c r="BH614" s="1495"/>
      <c r="BI614" s="1420">
        <f t="shared" si="3"/>
        <v>0</v>
      </c>
      <c r="BJ614" s="1421"/>
      <c r="BK614" s="1494">
        <f t="shared" si="4"/>
        <v>0</v>
      </c>
      <c r="BL614" s="1495"/>
      <c r="BM614" s="3"/>
      <c r="BN614" s="1505">
        <f t="shared" si="5"/>
        <v>0</v>
      </c>
      <c r="BO614" s="1506"/>
      <c r="BP614" s="1506"/>
      <c r="BQ614" s="1506"/>
      <c r="BR614" s="1507"/>
      <c r="BS614" s="1396">
        <f t="shared" si="6"/>
        <v>0</v>
      </c>
      <c r="BT614" s="1396"/>
      <c r="BU614" s="1396"/>
      <c r="BV614" s="1396"/>
      <c r="BW614" s="1396"/>
      <c r="BX614" s="1396">
        <f t="shared" si="7"/>
        <v>0</v>
      </c>
      <c r="BY614" s="1396"/>
      <c r="BZ614" s="1396"/>
      <c r="CA614" s="1396"/>
      <c r="CB614" s="1396"/>
      <c r="CC614" s="1396">
        <f t="shared" si="8"/>
        <v>0</v>
      </c>
      <c r="CD614" s="1396"/>
      <c r="CE614" s="1396"/>
      <c r="CF614" s="1396"/>
      <c r="CG614" s="1396"/>
      <c r="CH614" s="1396">
        <f t="shared" si="9"/>
        <v>0</v>
      </c>
      <c r="CI614" s="1396"/>
      <c r="CJ614" s="1396"/>
      <c r="CK614" s="1396"/>
      <c r="CL614" s="1396"/>
      <c r="CM614" s="1396">
        <f t="shared" si="10"/>
        <v>0</v>
      </c>
      <c r="CN614" s="1396"/>
      <c r="CO614" s="1396"/>
      <c r="CP614" s="1396"/>
      <c r="CQ614" s="1396"/>
      <c r="CR614" s="6"/>
      <c r="CS614" s="1713">
        <f t="shared" si="11"/>
        <v>0</v>
      </c>
      <c r="CT614" s="1713"/>
      <c r="CU614" s="1713"/>
      <c r="CV614" s="1713"/>
      <c r="CW614" s="1713"/>
      <c r="CX614" s="1713">
        <f t="shared" si="12"/>
        <v>0</v>
      </c>
      <c r="CY614" s="1713"/>
      <c r="CZ614" s="1713"/>
      <c r="DA614" s="1713"/>
      <c r="DB614" s="1713"/>
      <c r="DC614" s="1713">
        <f t="shared" si="13"/>
        <v>0</v>
      </c>
      <c r="DD614" s="1713"/>
      <c r="DE614" s="1713"/>
      <c r="DF614" s="1713"/>
      <c r="DG614" s="1713"/>
      <c r="DH614" s="1713">
        <f t="shared" si="14"/>
        <v>0</v>
      </c>
      <c r="DI614" s="1713"/>
      <c r="DJ614" s="1713"/>
      <c r="DK614" s="1713"/>
      <c r="DL614" s="1713"/>
      <c r="DM614" s="1713">
        <f t="shared" si="15"/>
        <v>0</v>
      </c>
      <c r="DN614" s="1713"/>
      <c r="DO614" s="1713"/>
      <c r="DP614" s="1713"/>
      <c r="DQ614" s="1713"/>
      <c r="DR614" s="1713">
        <f t="shared" si="16"/>
        <v>0</v>
      </c>
      <c r="DS614" s="1713"/>
      <c r="DT614" s="1713"/>
      <c r="DU614" s="1713"/>
      <c r="DV614" s="1713"/>
      <c r="DX614" s="1420" t="str">
        <f t="shared" si="17"/>
        <v xml:space="preserve"> </v>
      </c>
      <c r="DY614" s="1843"/>
      <c r="DZ614" s="1843"/>
      <c r="EA614" s="1843"/>
      <c r="EB614" s="1421"/>
      <c r="EC614" s="1420" t="str">
        <f t="shared" si="18"/>
        <v xml:space="preserve"> </v>
      </c>
      <c r="ED614" s="1843"/>
      <c r="EE614" s="1843"/>
      <c r="EF614" s="1843"/>
      <c r="EG614" s="1421"/>
      <c r="EH614" s="1420" t="str">
        <f t="shared" si="19"/>
        <v xml:space="preserve"> </v>
      </c>
      <c r="EI614" s="1843"/>
      <c r="EJ614" s="1843"/>
      <c r="EK614" s="1843"/>
      <c r="EL614" s="1421"/>
      <c r="EM614" s="1420" t="str">
        <f t="shared" si="20"/>
        <v xml:space="preserve"> </v>
      </c>
      <c r="EN614" s="1843"/>
      <c r="EO614" s="1843"/>
      <c r="EP614" s="1843"/>
      <c r="EQ614" s="1421"/>
      <c r="ER614" s="1420" t="str">
        <f t="shared" si="21"/>
        <v xml:space="preserve"> </v>
      </c>
      <c r="ES614" s="1843"/>
      <c r="ET614" s="1843"/>
      <c r="EU614" s="1843"/>
      <c r="EV614" s="1421"/>
      <c r="EW614" s="1420" t="str">
        <f t="shared" si="22"/>
        <v xml:space="preserve"> </v>
      </c>
      <c r="EX614" s="1843"/>
      <c r="EY614" s="1843"/>
      <c r="EZ614" s="1843"/>
      <c r="FA614" s="1421"/>
    </row>
    <row r="615" spans="1:157" ht="12.9" customHeight="1">
      <c r="AZ615" s="3"/>
      <c r="BA615" s="3"/>
      <c r="BB615" s="3"/>
      <c r="BC615" s="3"/>
      <c r="BD615" s="3"/>
      <c r="BE615" s="1420">
        <f t="shared" si="1"/>
        <v>0</v>
      </c>
      <c r="BF615" s="1421"/>
      <c r="BG615" s="1494">
        <f t="shared" si="2"/>
        <v>0</v>
      </c>
      <c r="BH615" s="1495"/>
      <c r="BI615" s="1420">
        <f t="shared" si="3"/>
        <v>0</v>
      </c>
      <c r="BJ615" s="1421"/>
      <c r="BK615" s="1494">
        <f t="shared" si="4"/>
        <v>0</v>
      </c>
      <c r="BL615" s="1495"/>
      <c r="BM615" s="3"/>
      <c r="BN615" s="1505">
        <f t="shared" si="5"/>
        <v>0</v>
      </c>
      <c r="BO615" s="1506"/>
      <c r="BP615" s="1506"/>
      <c r="BQ615" s="1506"/>
      <c r="BR615" s="1507"/>
      <c r="BS615" s="1396">
        <f t="shared" si="6"/>
        <v>0</v>
      </c>
      <c r="BT615" s="1396"/>
      <c r="BU615" s="1396"/>
      <c r="BV615" s="1396"/>
      <c r="BW615" s="1396"/>
      <c r="BX615" s="1396">
        <f t="shared" si="7"/>
        <v>0</v>
      </c>
      <c r="BY615" s="1396"/>
      <c r="BZ615" s="1396"/>
      <c r="CA615" s="1396"/>
      <c r="CB615" s="1396"/>
      <c r="CC615" s="1396">
        <f t="shared" si="8"/>
        <v>0</v>
      </c>
      <c r="CD615" s="1396"/>
      <c r="CE615" s="1396"/>
      <c r="CF615" s="1396"/>
      <c r="CG615" s="1396"/>
      <c r="CH615" s="1396">
        <f t="shared" si="9"/>
        <v>0</v>
      </c>
      <c r="CI615" s="1396"/>
      <c r="CJ615" s="1396"/>
      <c r="CK615" s="1396"/>
      <c r="CL615" s="1396"/>
      <c r="CM615" s="1396">
        <f t="shared" si="10"/>
        <v>0</v>
      </c>
      <c r="CN615" s="1396"/>
      <c r="CO615" s="1396"/>
      <c r="CP615" s="1396"/>
      <c r="CQ615" s="1396"/>
      <c r="CR615" s="6"/>
      <c r="CS615" s="1713">
        <f t="shared" si="11"/>
        <v>0</v>
      </c>
      <c r="CT615" s="1713"/>
      <c r="CU615" s="1713"/>
      <c r="CV615" s="1713"/>
      <c r="CW615" s="1713"/>
      <c r="CX615" s="1713">
        <f t="shared" si="12"/>
        <v>0</v>
      </c>
      <c r="CY615" s="1713"/>
      <c r="CZ615" s="1713"/>
      <c r="DA615" s="1713"/>
      <c r="DB615" s="1713"/>
      <c r="DC615" s="1713">
        <f t="shared" si="13"/>
        <v>0</v>
      </c>
      <c r="DD615" s="1713"/>
      <c r="DE615" s="1713"/>
      <c r="DF615" s="1713"/>
      <c r="DG615" s="1713"/>
      <c r="DH615" s="1713">
        <f t="shared" si="14"/>
        <v>0</v>
      </c>
      <c r="DI615" s="1713"/>
      <c r="DJ615" s="1713"/>
      <c r="DK615" s="1713"/>
      <c r="DL615" s="1713"/>
      <c r="DM615" s="1713">
        <f t="shared" si="15"/>
        <v>0</v>
      </c>
      <c r="DN615" s="1713"/>
      <c r="DO615" s="1713"/>
      <c r="DP615" s="1713"/>
      <c r="DQ615" s="1713"/>
      <c r="DR615" s="1713">
        <f t="shared" si="16"/>
        <v>0</v>
      </c>
      <c r="DS615" s="1713"/>
      <c r="DT615" s="1713"/>
      <c r="DU615" s="1713"/>
      <c r="DV615" s="1713"/>
      <c r="DX615" s="1420" t="str">
        <f t="shared" si="17"/>
        <v xml:space="preserve"> </v>
      </c>
      <c r="DY615" s="1843"/>
      <c r="DZ615" s="1843"/>
      <c r="EA615" s="1843"/>
      <c r="EB615" s="1421"/>
      <c r="EC615" s="1420" t="str">
        <f t="shared" si="18"/>
        <v xml:space="preserve"> </v>
      </c>
      <c r="ED615" s="1843"/>
      <c r="EE615" s="1843"/>
      <c r="EF615" s="1843"/>
      <c r="EG615" s="1421"/>
      <c r="EH615" s="1420" t="str">
        <f t="shared" si="19"/>
        <v xml:space="preserve"> </v>
      </c>
      <c r="EI615" s="1843"/>
      <c r="EJ615" s="1843"/>
      <c r="EK615" s="1843"/>
      <c r="EL615" s="1421"/>
      <c r="EM615" s="1420" t="str">
        <f t="shared" si="20"/>
        <v xml:space="preserve"> </v>
      </c>
      <c r="EN615" s="1843"/>
      <c r="EO615" s="1843"/>
      <c r="EP615" s="1843"/>
      <c r="EQ615" s="1421"/>
      <c r="ER615" s="1420" t="str">
        <f t="shared" si="21"/>
        <v xml:space="preserve"> </v>
      </c>
      <c r="ES615" s="1843"/>
      <c r="ET615" s="1843"/>
      <c r="EU615" s="1843"/>
      <c r="EV615" s="1421"/>
      <c r="EW615" s="1420" t="str">
        <f t="shared" si="22"/>
        <v xml:space="preserve"> </v>
      </c>
      <c r="EX615" s="1843"/>
      <c r="EY615" s="1843"/>
      <c r="EZ615" s="1843"/>
      <c r="FA615" s="1421"/>
    </row>
    <row r="616" spans="1:157" ht="12.9" customHeight="1">
      <c r="A616" s="2" t="s">
        <v>321</v>
      </c>
      <c r="B616" s="2"/>
      <c r="C616" s="2" t="s">
        <v>21</v>
      </c>
      <c r="AZ616" s="3"/>
      <c r="BA616" s="3"/>
      <c r="BB616" s="3"/>
      <c r="BC616" s="3"/>
      <c r="BD616" s="3"/>
      <c r="BE616" s="1420">
        <f t="shared" si="1"/>
        <v>0</v>
      </c>
      <c r="BF616" s="1421"/>
      <c r="BG616" s="1494">
        <f t="shared" si="2"/>
        <v>0</v>
      </c>
      <c r="BH616" s="1495"/>
      <c r="BI616" s="1420">
        <f t="shared" si="3"/>
        <v>0</v>
      </c>
      <c r="BJ616" s="1421"/>
      <c r="BK616" s="1494">
        <f t="shared" si="4"/>
        <v>0</v>
      </c>
      <c r="BL616" s="1495"/>
      <c r="BM616" s="3"/>
      <c r="BN616" s="1505">
        <f t="shared" si="5"/>
        <v>0</v>
      </c>
      <c r="BO616" s="1506"/>
      <c r="BP616" s="1506"/>
      <c r="BQ616" s="1506"/>
      <c r="BR616" s="1507"/>
      <c r="BS616" s="1396">
        <f t="shared" si="6"/>
        <v>0</v>
      </c>
      <c r="BT616" s="1396"/>
      <c r="BU616" s="1396"/>
      <c r="BV616" s="1396"/>
      <c r="BW616" s="1396"/>
      <c r="BX616" s="1396">
        <f t="shared" si="7"/>
        <v>0</v>
      </c>
      <c r="BY616" s="1396"/>
      <c r="BZ616" s="1396"/>
      <c r="CA616" s="1396"/>
      <c r="CB616" s="1396"/>
      <c r="CC616" s="1396">
        <f t="shared" si="8"/>
        <v>0</v>
      </c>
      <c r="CD616" s="1396"/>
      <c r="CE616" s="1396"/>
      <c r="CF616" s="1396"/>
      <c r="CG616" s="1396"/>
      <c r="CH616" s="1396">
        <f t="shared" si="9"/>
        <v>0</v>
      </c>
      <c r="CI616" s="1396"/>
      <c r="CJ616" s="1396"/>
      <c r="CK616" s="1396"/>
      <c r="CL616" s="1396"/>
      <c r="CM616" s="1396">
        <f t="shared" si="10"/>
        <v>0</v>
      </c>
      <c r="CN616" s="1396"/>
      <c r="CO616" s="1396"/>
      <c r="CP616" s="1396"/>
      <c r="CQ616" s="1396"/>
      <c r="CR616" s="6"/>
      <c r="CS616" s="1713">
        <f t="shared" si="11"/>
        <v>0</v>
      </c>
      <c r="CT616" s="1713"/>
      <c r="CU616" s="1713"/>
      <c r="CV616" s="1713"/>
      <c r="CW616" s="1713"/>
      <c r="CX616" s="1713">
        <f t="shared" si="12"/>
        <v>0</v>
      </c>
      <c r="CY616" s="1713"/>
      <c r="CZ616" s="1713"/>
      <c r="DA616" s="1713"/>
      <c r="DB616" s="1713"/>
      <c r="DC616" s="1713">
        <f t="shared" si="13"/>
        <v>0</v>
      </c>
      <c r="DD616" s="1713"/>
      <c r="DE616" s="1713"/>
      <c r="DF616" s="1713"/>
      <c r="DG616" s="1713"/>
      <c r="DH616" s="1713">
        <f t="shared" si="14"/>
        <v>0</v>
      </c>
      <c r="DI616" s="1713"/>
      <c r="DJ616" s="1713"/>
      <c r="DK616" s="1713"/>
      <c r="DL616" s="1713"/>
      <c r="DM616" s="1713">
        <f t="shared" si="15"/>
        <v>0</v>
      </c>
      <c r="DN616" s="1713"/>
      <c r="DO616" s="1713"/>
      <c r="DP616" s="1713"/>
      <c r="DQ616" s="1713"/>
      <c r="DR616" s="1713">
        <f t="shared" si="16"/>
        <v>0</v>
      </c>
      <c r="DS616" s="1713"/>
      <c r="DT616" s="1713"/>
      <c r="DU616" s="1713"/>
      <c r="DV616" s="1713"/>
      <c r="DX616" s="1420" t="str">
        <f t="shared" si="17"/>
        <v xml:space="preserve"> </v>
      </c>
      <c r="DY616" s="1843"/>
      <c r="DZ616" s="1843"/>
      <c r="EA616" s="1843"/>
      <c r="EB616" s="1421"/>
      <c r="EC616" s="1420" t="str">
        <f t="shared" si="18"/>
        <v xml:space="preserve"> </v>
      </c>
      <c r="ED616" s="1843"/>
      <c r="EE616" s="1843"/>
      <c r="EF616" s="1843"/>
      <c r="EG616" s="1421"/>
      <c r="EH616" s="1420" t="str">
        <f t="shared" si="19"/>
        <v xml:space="preserve"> </v>
      </c>
      <c r="EI616" s="1843"/>
      <c r="EJ616" s="1843"/>
      <c r="EK616" s="1843"/>
      <c r="EL616" s="1421"/>
      <c r="EM616" s="1420" t="str">
        <f t="shared" si="20"/>
        <v xml:space="preserve"> </v>
      </c>
      <c r="EN616" s="1843"/>
      <c r="EO616" s="1843"/>
      <c r="EP616" s="1843"/>
      <c r="EQ616" s="1421"/>
      <c r="ER616" s="1420" t="str">
        <f t="shared" si="21"/>
        <v xml:space="preserve"> </v>
      </c>
      <c r="ES616" s="1843"/>
      <c r="ET616" s="1843"/>
      <c r="EU616" s="1843"/>
      <c r="EV616" s="1421"/>
      <c r="EW616" s="1420" t="str">
        <f t="shared" si="22"/>
        <v xml:space="preserve"> </v>
      </c>
      <c r="EX616" s="1843"/>
      <c r="EY616" s="1843"/>
      <c r="EZ616" s="1843"/>
      <c r="FA616" s="1421"/>
    </row>
    <row r="617" spans="1:157" ht="12.9" customHeight="1">
      <c r="A617" s="2"/>
      <c r="B617" s="2"/>
      <c r="C617" s="2"/>
      <c r="AZ617" s="3"/>
      <c r="BA617" s="3"/>
      <c r="BB617" s="3"/>
      <c r="BC617" s="3"/>
      <c r="BD617" s="3"/>
      <c r="BE617" s="1420">
        <f t="shared" si="1"/>
        <v>0</v>
      </c>
      <c r="BF617" s="1421"/>
      <c r="BG617" s="1494">
        <f t="shared" si="2"/>
        <v>0</v>
      </c>
      <c r="BH617" s="1495"/>
      <c r="BI617" s="1420">
        <f t="shared" si="3"/>
        <v>0</v>
      </c>
      <c r="BJ617" s="1421"/>
      <c r="BK617" s="1494">
        <f t="shared" si="4"/>
        <v>0</v>
      </c>
      <c r="BL617" s="1495"/>
      <c r="BM617" s="3"/>
      <c r="BN617" s="1505">
        <f t="shared" si="5"/>
        <v>0</v>
      </c>
      <c r="BO617" s="1506"/>
      <c r="BP617" s="1506"/>
      <c r="BQ617" s="1506"/>
      <c r="BR617" s="1507"/>
      <c r="BS617" s="1396">
        <f t="shared" si="6"/>
        <v>0</v>
      </c>
      <c r="BT617" s="1396"/>
      <c r="BU617" s="1396"/>
      <c r="BV617" s="1396"/>
      <c r="BW617" s="1396"/>
      <c r="BX617" s="1396">
        <f t="shared" si="7"/>
        <v>0</v>
      </c>
      <c r="BY617" s="1396"/>
      <c r="BZ617" s="1396"/>
      <c r="CA617" s="1396"/>
      <c r="CB617" s="1396"/>
      <c r="CC617" s="1396">
        <f t="shared" si="8"/>
        <v>0</v>
      </c>
      <c r="CD617" s="1396"/>
      <c r="CE617" s="1396"/>
      <c r="CF617" s="1396"/>
      <c r="CG617" s="1396"/>
      <c r="CH617" s="1396">
        <f t="shared" si="9"/>
        <v>0</v>
      </c>
      <c r="CI617" s="1396"/>
      <c r="CJ617" s="1396"/>
      <c r="CK617" s="1396"/>
      <c r="CL617" s="1396"/>
      <c r="CM617" s="1396">
        <f t="shared" si="10"/>
        <v>0</v>
      </c>
      <c r="CN617" s="1396"/>
      <c r="CO617" s="1396"/>
      <c r="CP617" s="1396"/>
      <c r="CQ617" s="1396"/>
      <c r="CR617" s="6"/>
      <c r="CS617" s="1713">
        <f t="shared" si="11"/>
        <v>0</v>
      </c>
      <c r="CT617" s="1713"/>
      <c r="CU617" s="1713"/>
      <c r="CV617" s="1713"/>
      <c r="CW617" s="1713"/>
      <c r="CX617" s="1713">
        <f t="shared" si="12"/>
        <v>0</v>
      </c>
      <c r="CY617" s="1713"/>
      <c r="CZ617" s="1713"/>
      <c r="DA617" s="1713"/>
      <c r="DB617" s="1713"/>
      <c r="DC617" s="1713">
        <f t="shared" si="13"/>
        <v>0</v>
      </c>
      <c r="DD617" s="1713"/>
      <c r="DE617" s="1713"/>
      <c r="DF617" s="1713"/>
      <c r="DG617" s="1713"/>
      <c r="DH617" s="1713">
        <f t="shared" si="14"/>
        <v>0</v>
      </c>
      <c r="DI617" s="1713"/>
      <c r="DJ617" s="1713"/>
      <c r="DK617" s="1713"/>
      <c r="DL617" s="1713"/>
      <c r="DM617" s="1713">
        <f t="shared" si="15"/>
        <v>0</v>
      </c>
      <c r="DN617" s="1713"/>
      <c r="DO617" s="1713"/>
      <c r="DP617" s="1713"/>
      <c r="DQ617" s="1713"/>
      <c r="DR617" s="1713">
        <f t="shared" si="16"/>
        <v>0</v>
      </c>
      <c r="DS617" s="1713"/>
      <c r="DT617" s="1713"/>
      <c r="DU617" s="1713"/>
      <c r="DV617" s="1713"/>
      <c r="DX617" s="1420" t="str">
        <f t="shared" si="17"/>
        <v xml:space="preserve"> </v>
      </c>
      <c r="DY617" s="1843"/>
      <c r="DZ617" s="1843"/>
      <c r="EA617" s="1843"/>
      <c r="EB617" s="1421"/>
      <c r="EC617" s="1420" t="str">
        <f t="shared" si="18"/>
        <v xml:space="preserve"> </v>
      </c>
      <c r="ED617" s="1843"/>
      <c r="EE617" s="1843"/>
      <c r="EF617" s="1843"/>
      <c r="EG617" s="1421"/>
      <c r="EH617" s="1420" t="str">
        <f t="shared" si="19"/>
        <v xml:space="preserve"> </v>
      </c>
      <c r="EI617" s="1843"/>
      <c r="EJ617" s="1843"/>
      <c r="EK617" s="1843"/>
      <c r="EL617" s="1421"/>
      <c r="EM617" s="1420" t="str">
        <f t="shared" si="20"/>
        <v xml:space="preserve"> </v>
      </c>
      <c r="EN617" s="1843"/>
      <c r="EO617" s="1843"/>
      <c r="EP617" s="1843"/>
      <c r="EQ617" s="1421"/>
      <c r="ER617" s="1420" t="str">
        <f t="shared" si="21"/>
        <v xml:space="preserve"> </v>
      </c>
      <c r="ES617" s="1843"/>
      <c r="ET617" s="1843"/>
      <c r="EU617" s="1843"/>
      <c r="EV617" s="1421"/>
      <c r="EW617" s="1420" t="str">
        <f t="shared" si="22"/>
        <v xml:space="preserve"> </v>
      </c>
      <c r="EX617" s="1843"/>
      <c r="EY617" s="1843"/>
      <c r="EZ617" s="1843"/>
      <c r="FA617" s="1421"/>
    </row>
    <row r="618" spans="1:157" ht="12.9" customHeight="1">
      <c r="C618" s="2" t="s">
        <v>2521</v>
      </c>
      <c r="AZ618" s="3"/>
      <c r="BA618" s="3"/>
      <c r="BB618" s="3"/>
      <c r="BC618" s="3"/>
      <c r="BD618" s="3"/>
      <c r="BE618" s="1420">
        <f t="shared" si="1"/>
        <v>0</v>
      </c>
      <c r="BF618" s="1421"/>
      <c r="BG618" s="1494">
        <f t="shared" si="2"/>
        <v>0</v>
      </c>
      <c r="BH618" s="1495"/>
      <c r="BI618" s="1420">
        <f t="shared" si="3"/>
        <v>0</v>
      </c>
      <c r="BJ618" s="1421"/>
      <c r="BK618" s="1494">
        <f t="shared" si="4"/>
        <v>0</v>
      </c>
      <c r="BL618" s="1495"/>
      <c r="BM618" s="3"/>
      <c r="BN618" s="1505">
        <f t="shared" si="5"/>
        <v>0</v>
      </c>
      <c r="BO618" s="1506"/>
      <c r="BP618" s="1506"/>
      <c r="BQ618" s="1506"/>
      <c r="BR618" s="1507"/>
      <c r="BS618" s="1396">
        <f t="shared" si="6"/>
        <v>0</v>
      </c>
      <c r="BT618" s="1396"/>
      <c r="BU618" s="1396"/>
      <c r="BV618" s="1396"/>
      <c r="BW618" s="1396"/>
      <c r="BX618" s="1396">
        <f t="shared" si="7"/>
        <v>0</v>
      </c>
      <c r="BY618" s="1396"/>
      <c r="BZ618" s="1396"/>
      <c r="CA618" s="1396"/>
      <c r="CB618" s="1396"/>
      <c r="CC618" s="1396">
        <f t="shared" si="8"/>
        <v>0</v>
      </c>
      <c r="CD618" s="1396"/>
      <c r="CE618" s="1396"/>
      <c r="CF618" s="1396"/>
      <c r="CG618" s="1396"/>
      <c r="CH618" s="1396">
        <f t="shared" si="9"/>
        <v>0</v>
      </c>
      <c r="CI618" s="1396"/>
      <c r="CJ618" s="1396"/>
      <c r="CK618" s="1396"/>
      <c r="CL618" s="1396"/>
      <c r="CM618" s="1396">
        <f t="shared" si="10"/>
        <v>0</v>
      </c>
      <c r="CN618" s="1396"/>
      <c r="CO618" s="1396"/>
      <c r="CP618" s="1396"/>
      <c r="CQ618" s="1396"/>
      <c r="CR618" s="6"/>
      <c r="CS618" s="1713">
        <f t="shared" si="11"/>
        <v>0</v>
      </c>
      <c r="CT618" s="1713"/>
      <c r="CU618" s="1713"/>
      <c r="CV618" s="1713"/>
      <c r="CW618" s="1713"/>
      <c r="CX618" s="1713">
        <f t="shared" si="12"/>
        <v>0</v>
      </c>
      <c r="CY618" s="1713"/>
      <c r="CZ618" s="1713"/>
      <c r="DA618" s="1713"/>
      <c r="DB618" s="1713"/>
      <c r="DC618" s="1713">
        <f t="shared" si="13"/>
        <v>0</v>
      </c>
      <c r="DD618" s="1713"/>
      <c r="DE618" s="1713"/>
      <c r="DF618" s="1713"/>
      <c r="DG618" s="1713"/>
      <c r="DH618" s="1713">
        <f t="shared" si="14"/>
        <v>0</v>
      </c>
      <c r="DI618" s="1713"/>
      <c r="DJ618" s="1713"/>
      <c r="DK618" s="1713"/>
      <c r="DL618" s="1713"/>
      <c r="DM618" s="1713">
        <f t="shared" si="15"/>
        <v>0</v>
      </c>
      <c r="DN618" s="1713"/>
      <c r="DO618" s="1713"/>
      <c r="DP618" s="1713"/>
      <c r="DQ618" s="1713"/>
      <c r="DR618" s="1713">
        <f t="shared" si="16"/>
        <v>0</v>
      </c>
      <c r="DS618" s="1713"/>
      <c r="DT618" s="1713"/>
      <c r="DU618" s="1713"/>
      <c r="DV618" s="1713"/>
      <c r="DX618" s="1420" t="str">
        <f t="shared" si="17"/>
        <v xml:space="preserve"> </v>
      </c>
      <c r="DY618" s="1843"/>
      <c r="DZ618" s="1843"/>
      <c r="EA618" s="1843"/>
      <c r="EB618" s="1421"/>
      <c r="EC618" s="1420" t="str">
        <f t="shared" si="18"/>
        <v xml:space="preserve"> </v>
      </c>
      <c r="ED618" s="1843"/>
      <c r="EE618" s="1843"/>
      <c r="EF618" s="1843"/>
      <c r="EG618" s="1421"/>
      <c r="EH618" s="1420" t="str">
        <f t="shared" si="19"/>
        <v xml:space="preserve"> </v>
      </c>
      <c r="EI618" s="1843"/>
      <c r="EJ618" s="1843"/>
      <c r="EK618" s="1843"/>
      <c r="EL618" s="1421"/>
      <c r="EM618" s="1420" t="str">
        <f t="shared" si="20"/>
        <v xml:space="preserve"> </v>
      </c>
      <c r="EN618" s="1843"/>
      <c r="EO618" s="1843"/>
      <c r="EP618" s="1843"/>
      <c r="EQ618" s="1421"/>
      <c r="ER618" s="1420" t="str">
        <f t="shared" si="21"/>
        <v xml:space="preserve"> </v>
      </c>
      <c r="ES618" s="1843"/>
      <c r="ET618" s="1843"/>
      <c r="EU618" s="1843"/>
      <c r="EV618" s="1421"/>
      <c r="EW618" s="1420" t="str">
        <f t="shared" si="22"/>
        <v xml:space="preserve"> </v>
      </c>
      <c r="EX618" s="1843"/>
      <c r="EY618" s="1843"/>
      <c r="EZ618" s="1843"/>
      <c r="FA618" s="1421"/>
    </row>
    <row r="619" spans="1:157" ht="12.9" customHeight="1">
      <c r="B619" s="547"/>
      <c r="C619" s="2"/>
      <c r="AZ619" s="3"/>
      <c r="BA619" s="3"/>
      <c r="BB619" s="3"/>
      <c r="BC619" s="3"/>
      <c r="BD619" s="3"/>
      <c r="BE619" s="1420">
        <f t="shared" si="1"/>
        <v>0</v>
      </c>
      <c r="BF619" s="1421"/>
      <c r="BG619" s="1494">
        <f t="shared" si="2"/>
        <v>0</v>
      </c>
      <c r="BH619" s="1495"/>
      <c r="BI619" s="1420">
        <f t="shared" si="3"/>
        <v>0</v>
      </c>
      <c r="BJ619" s="1421"/>
      <c r="BK619" s="1494">
        <f t="shared" si="4"/>
        <v>0</v>
      </c>
      <c r="BL619" s="1495"/>
      <c r="BM619" s="3"/>
      <c r="BN619" s="1505">
        <f t="shared" si="5"/>
        <v>0</v>
      </c>
      <c r="BO619" s="1506"/>
      <c r="BP619" s="1506"/>
      <c r="BQ619" s="1506"/>
      <c r="BR619" s="1507"/>
      <c r="BS619" s="1396">
        <f t="shared" si="6"/>
        <v>0</v>
      </c>
      <c r="BT619" s="1396"/>
      <c r="BU619" s="1396"/>
      <c r="BV619" s="1396"/>
      <c r="BW619" s="1396"/>
      <c r="BX619" s="1396">
        <f t="shared" si="7"/>
        <v>0</v>
      </c>
      <c r="BY619" s="1396"/>
      <c r="BZ619" s="1396"/>
      <c r="CA619" s="1396"/>
      <c r="CB619" s="1396"/>
      <c r="CC619" s="1396">
        <f t="shared" si="8"/>
        <v>0</v>
      </c>
      <c r="CD619" s="1396"/>
      <c r="CE619" s="1396"/>
      <c r="CF619" s="1396"/>
      <c r="CG619" s="1396"/>
      <c r="CH619" s="1396">
        <f t="shared" si="9"/>
        <v>0</v>
      </c>
      <c r="CI619" s="1396"/>
      <c r="CJ619" s="1396"/>
      <c r="CK619" s="1396"/>
      <c r="CL619" s="1396"/>
      <c r="CM619" s="1396">
        <f t="shared" si="10"/>
        <v>0</v>
      </c>
      <c r="CN619" s="1396"/>
      <c r="CO619" s="1396"/>
      <c r="CP619" s="1396"/>
      <c r="CQ619" s="1396"/>
      <c r="CR619" s="6"/>
      <c r="CS619" s="1713">
        <f t="shared" si="11"/>
        <v>0</v>
      </c>
      <c r="CT619" s="1713"/>
      <c r="CU619" s="1713"/>
      <c r="CV619" s="1713"/>
      <c r="CW619" s="1713"/>
      <c r="CX619" s="1713">
        <f t="shared" si="12"/>
        <v>0</v>
      </c>
      <c r="CY619" s="1713"/>
      <c r="CZ619" s="1713"/>
      <c r="DA619" s="1713"/>
      <c r="DB619" s="1713"/>
      <c r="DC619" s="1713">
        <f t="shared" si="13"/>
        <v>0</v>
      </c>
      <c r="DD619" s="1713"/>
      <c r="DE619" s="1713"/>
      <c r="DF619" s="1713"/>
      <c r="DG619" s="1713"/>
      <c r="DH619" s="1713">
        <f t="shared" si="14"/>
        <v>0</v>
      </c>
      <c r="DI619" s="1713"/>
      <c r="DJ619" s="1713"/>
      <c r="DK619" s="1713"/>
      <c r="DL619" s="1713"/>
      <c r="DM619" s="1713">
        <f t="shared" si="15"/>
        <v>0</v>
      </c>
      <c r="DN619" s="1713"/>
      <c r="DO619" s="1713"/>
      <c r="DP619" s="1713"/>
      <c r="DQ619" s="1713"/>
      <c r="DR619" s="1713">
        <f t="shared" si="16"/>
        <v>0</v>
      </c>
      <c r="DS619" s="1713"/>
      <c r="DT619" s="1713"/>
      <c r="DU619" s="1713"/>
      <c r="DV619" s="1713"/>
      <c r="DX619" s="1420" t="str">
        <f t="shared" si="17"/>
        <v xml:space="preserve"> </v>
      </c>
      <c r="DY619" s="1843"/>
      <c r="DZ619" s="1843"/>
      <c r="EA619" s="1843"/>
      <c r="EB619" s="1421"/>
      <c r="EC619" s="1420" t="str">
        <f t="shared" si="18"/>
        <v xml:space="preserve"> </v>
      </c>
      <c r="ED619" s="1843"/>
      <c r="EE619" s="1843"/>
      <c r="EF619" s="1843"/>
      <c r="EG619" s="1421"/>
      <c r="EH619" s="1420" t="str">
        <f t="shared" si="19"/>
        <v xml:space="preserve"> </v>
      </c>
      <c r="EI619" s="1843"/>
      <c r="EJ619" s="1843"/>
      <c r="EK619" s="1843"/>
      <c r="EL619" s="1421"/>
      <c r="EM619" s="1420" t="str">
        <f t="shared" si="20"/>
        <v xml:space="preserve"> </v>
      </c>
      <c r="EN619" s="1843"/>
      <c r="EO619" s="1843"/>
      <c r="EP619" s="1843"/>
      <c r="EQ619" s="1421"/>
      <c r="ER619" s="1420" t="str">
        <f t="shared" si="21"/>
        <v xml:space="preserve"> </v>
      </c>
      <c r="ES619" s="1843"/>
      <c r="ET619" s="1843"/>
      <c r="EU619" s="1843"/>
      <c r="EV619" s="1421"/>
      <c r="EW619" s="1420" t="str">
        <f t="shared" si="22"/>
        <v xml:space="preserve"> </v>
      </c>
      <c r="EX619" s="1843"/>
      <c r="EY619" s="1843"/>
      <c r="EZ619" s="1843"/>
      <c r="FA619" s="1421"/>
    </row>
    <row r="620" spans="1:157" ht="12.9" customHeight="1">
      <c r="B620" s="1850" t="s">
        <v>2523</v>
      </c>
      <c r="C620" s="1850"/>
      <c r="D620" s="1850"/>
      <c r="E620" s="1850"/>
      <c r="F620" s="1850"/>
      <c r="G620" s="1850"/>
      <c r="H620" s="1850"/>
      <c r="I620" s="1850"/>
      <c r="J620" s="1850"/>
      <c r="K620" s="1850"/>
      <c r="L620" s="1850"/>
      <c r="M620" s="1513" t="s">
        <v>2524</v>
      </c>
      <c r="N620" s="1513"/>
      <c r="O620" s="1513"/>
      <c r="P620" s="1513"/>
      <c r="Q620" s="1513" t="s">
        <v>2114</v>
      </c>
      <c r="R620" s="1513"/>
      <c r="S620" s="1513"/>
      <c r="T620" s="1513" t="s">
        <v>2112</v>
      </c>
      <c r="U620" s="1513"/>
      <c r="V620" s="1513"/>
      <c r="W620" s="1849" t="s">
        <v>463</v>
      </c>
      <c r="X620" s="1849"/>
      <c r="Y620" s="1849"/>
      <c r="Z620" s="1410" t="s">
        <v>2553</v>
      </c>
      <c r="AA620" s="1410"/>
      <c r="AB620" s="1411"/>
      <c r="AC620" s="1736" t="s">
        <v>1934</v>
      </c>
      <c r="AD620" s="1737"/>
      <c r="AE620" s="1738"/>
      <c r="AF620" s="1409" t="s">
        <v>2311</v>
      </c>
      <c r="AG620" s="1410"/>
      <c r="AH620" s="1410"/>
      <c r="AI620" s="1410"/>
      <c r="AJ620" s="1411"/>
      <c r="AK620" s="1726" t="s">
        <v>2312</v>
      </c>
      <c r="AL620" s="1727"/>
      <c r="AM620" s="1727"/>
      <c r="AN620" s="1728"/>
      <c r="AO620" s="1513" t="s">
        <v>464</v>
      </c>
      <c r="AP620" s="1513"/>
      <c r="AQ620" s="1513"/>
      <c r="AR620" s="1513"/>
      <c r="AS620" s="1513"/>
      <c r="AZ620" s="3"/>
      <c r="BA620" s="3"/>
      <c r="BB620" s="3"/>
      <c r="BC620" s="3"/>
      <c r="BD620" s="3"/>
      <c r="BE620" s="1420">
        <f t="shared" si="1"/>
        <v>0</v>
      </c>
      <c r="BF620" s="1421"/>
      <c r="BG620" s="1494">
        <f t="shared" si="2"/>
        <v>0</v>
      </c>
      <c r="BH620" s="1495"/>
      <c r="BI620" s="1420">
        <f t="shared" si="3"/>
        <v>0</v>
      </c>
      <c r="BJ620" s="1421"/>
      <c r="BK620" s="1494">
        <f t="shared" si="4"/>
        <v>0</v>
      </c>
      <c r="BL620" s="1495"/>
      <c r="BM620" s="3"/>
      <c r="BN620" s="1505">
        <f t="shared" si="5"/>
        <v>0</v>
      </c>
      <c r="BO620" s="1506"/>
      <c r="BP620" s="1506"/>
      <c r="BQ620" s="1506"/>
      <c r="BR620" s="1507"/>
      <c r="BS620" s="1396">
        <f t="shared" si="6"/>
        <v>0</v>
      </c>
      <c r="BT620" s="1396"/>
      <c r="BU620" s="1396"/>
      <c r="BV620" s="1396"/>
      <c r="BW620" s="1396"/>
      <c r="BX620" s="1396">
        <f t="shared" si="7"/>
        <v>0</v>
      </c>
      <c r="BY620" s="1396"/>
      <c r="BZ620" s="1396"/>
      <c r="CA620" s="1396"/>
      <c r="CB620" s="1396"/>
      <c r="CC620" s="1396">
        <f t="shared" si="8"/>
        <v>0</v>
      </c>
      <c r="CD620" s="1396"/>
      <c r="CE620" s="1396"/>
      <c r="CF620" s="1396"/>
      <c r="CG620" s="1396"/>
      <c r="CH620" s="1396">
        <f t="shared" si="9"/>
        <v>0</v>
      </c>
      <c r="CI620" s="1396"/>
      <c r="CJ620" s="1396"/>
      <c r="CK620" s="1396"/>
      <c r="CL620" s="1396"/>
      <c r="CM620" s="1396">
        <f t="shared" si="10"/>
        <v>0</v>
      </c>
      <c r="CN620" s="1396"/>
      <c r="CO620" s="1396"/>
      <c r="CP620" s="1396"/>
      <c r="CQ620" s="1396"/>
      <c r="CR620" s="6"/>
      <c r="CS620" s="1713">
        <f t="shared" si="11"/>
        <v>0</v>
      </c>
      <c r="CT620" s="1713"/>
      <c r="CU620" s="1713"/>
      <c r="CV620" s="1713"/>
      <c r="CW620" s="1713"/>
      <c r="CX620" s="1713">
        <f t="shared" si="12"/>
        <v>0</v>
      </c>
      <c r="CY620" s="1713"/>
      <c r="CZ620" s="1713"/>
      <c r="DA620" s="1713"/>
      <c r="DB620" s="1713"/>
      <c r="DC620" s="1713">
        <f t="shared" si="13"/>
        <v>0</v>
      </c>
      <c r="DD620" s="1713"/>
      <c r="DE620" s="1713"/>
      <c r="DF620" s="1713"/>
      <c r="DG620" s="1713"/>
      <c r="DH620" s="1713">
        <f t="shared" si="14"/>
        <v>0</v>
      </c>
      <c r="DI620" s="1713"/>
      <c r="DJ620" s="1713"/>
      <c r="DK620" s="1713"/>
      <c r="DL620" s="1713"/>
      <c r="DM620" s="1713">
        <f t="shared" si="15"/>
        <v>0</v>
      </c>
      <c r="DN620" s="1713"/>
      <c r="DO620" s="1713"/>
      <c r="DP620" s="1713"/>
      <c r="DQ620" s="1713"/>
      <c r="DR620" s="1713">
        <f t="shared" si="16"/>
        <v>0</v>
      </c>
      <c r="DS620" s="1713"/>
      <c r="DT620" s="1713"/>
      <c r="DU620" s="1713"/>
      <c r="DV620" s="1713"/>
      <c r="DX620" s="1420" t="str">
        <f t="shared" si="17"/>
        <v xml:space="preserve"> </v>
      </c>
      <c r="DY620" s="1843"/>
      <c r="DZ620" s="1843"/>
      <c r="EA620" s="1843"/>
      <c r="EB620" s="1421"/>
      <c r="EC620" s="1420" t="str">
        <f t="shared" si="18"/>
        <v xml:space="preserve"> </v>
      </c>
      <c r="ED620" s="1843"/>
      <c r="EE620" s="1843"/>
      <c r="EF620" s="1843"/>
      <c r="EG620" s="1421"/>
      <c r="EH620" s="1420" t="str">
        <f t="shared" si="19"/>
        <v xml:space="preserve"> </v>
      </c>
      <c r="EI620" s="1843"/>
      <c r="EJ620" s="1843"/>
      <c r="EK620" s="1843"/>
      <c r="EL620" s="1421"/>
      <c r="EM620" s="1420" t="str">
        <f t="shared" si="20"/>
        <v xml:space="preserve"> </v>
      </c>
      <c r="EN620" s="1843"/>
      <c r="EO620" s="1843"/>
      <c r="EP620" s="1843"/>
      <c r="EQ620" s="1421"/>
      <c r="ER620" s="1420" t="str">
        <f t="shared" si="21"/>
        <v xml:space="preserve"> </v>
      </c>
      <c r="ES620" s="1843"/>
      <c r="ET620" s="1843"/>
      <c r="EU620" s="1843"/>
      <c r="EV620" s="1421"/>
      <c r="EW620" s="1420" t="str">
        <f t="shared" si="22"/>
        <v xml:space="preserve"> </v>
      </c>
      <c r="EX620" s="1843"/>
      <c r="EY620" s="1843"/>
      <c r="EZ620" s="1843"/>
      <c r="FA620" s="1421"/>
    </row>
    <row r="621" spans="1:157" ht="12.9" customHeight="1">
      <c r="B621" s="1850"/>
      <c r="C621" s="1850"/>
      <c r="D621" s="1850"/>
      <c r="E621" s="1850"/>
      <c r="F621" s="1850"/>
      <c r="G621" s="1850"/>
      <c r="H621" s="1850"/>
      <c r="I621" s="1850"/>
      <c r="J621" s="1850"/>
      <c r="K621" s="1850"/>
      <c r="L621" s="1850"/>
      <c r="M621" s="1513"/>
      <c r="N621" s="1513"/>
      <c r="O621" s="1513"/>
      <c r="P621" s="1513"/>
      <c r="Q621" s="1513"/>
      <c r="R621" s="1513"/>
      <c r="S621" s="1513"/>
      <c r="T621" s="1513"/>
      <c r="U621" s="1513"/>
      <c r="V621" s="1513"/>
      <c r="W621" s="1849"/>
      <c r="X621" s="1849"/>
      <c r="Y621" s="1849"/>
      <c r="Z621" s="1413"/>
      <c r="AA621" s="1413"/>
      <c r="AB621" s="1414"/>
      <c r="AC621" s="1739"/>
      <c r="AD621" s="1740"/>
      <c r="AE621" s="1741"/>
      <c r="AF621" s="1412"/>
      <c r="AG621" s="1413"/>
      <c r="AH621" s="1413"/>
      <c r="AI621" s="1413"/>
      <c r="AJ621" s="1414"/>
      <c r="AK621" s="1729"/>
      <c r="AL621" s="1730"/>
      <c r="AM621" s="1730"/>
      <c r="AN621" s="1731"/>
      <c r="AO621" s="1513"/>
      <c r="AP621" s="1513"/>
      <c r="AQ621" s="1513"/>
      <c r="AR621" s="1513"/>
      <c r="AS621" s="1513"/>
      <c r="AZ621" s="3"/>
      <c r="BA621" s="3"/>
      <c r="BB621" s="3"/>
      <c r="BC621" s="3"/>
      <c r="BD621" s="3"/>
      <c r="BE621" s="3"/>
      <c r="BF621" s="3"/>
      <c r="BG621" s="1420">
        <f>SUM(BG596:BH620)</f>
        <v>24</v>
      </c>
      <c r="BH621" s="1421"/>
      <c r="BI621" s="3"/>
      <c r="BJ621" s="3"/>
      <c r="BK621" s="1420">
        <f>SUM(BK596:BL620)</f>
        <v>24</v>
      </c>
      <c r="BL621" s="1421"/>
      <c r="BM621" s="3"/>
      <c r="BN621" s="1420">
        <f>SUM(BN596:BR620)</f>
        <v>0</v>
      </c>
      <c r="BO621" s="1843"/>
      <c r="BP621" s="1843"/>
      <c r="BQ621" s="1843"/>
      <c r="BR621" s="1421"/>
      <c r="BS621" s="1684">
        <f>SUM(BS596:BW620)</f>
        <v>105</v>
      </c>
      <c r="BT621" s="1684"/>
      <c r="BU621" s="1684"/>
      <c r="BV621" s="1684"/>
      <c r="BW621" s="1684"/>
      <c r="BX621" s="1684">
        <f>SUM(BX596:CB620)</f>
        <v>61</v>
      </c>
      <c r="BY621" s="1684"/>
      <c r="BZ621" s="1684"/>
      <c r="CA621" s="1684"/>
      <c r="CB621" s="1684"/>
      <c r="CC621" s="1684">
        <f>SUM(CC596:CG620)</f>
        <v>60</v>
      </c>
      <c r="CD621" s="1684"/>
      <c r="CE621" s="1684"/>
      <c r="CF621" s="1684"/>
      <c r="CG621" s="1684"/>
      <c r="CH621" s="1684">
        <f>SUM(CH596:CL620)</f>
        <v>0</v>
      </c>
      <c r="CI621" s="1684"/>
      <c r="CJ621" s="1684"/>
      <c r="CK621" s="1684"/>
      <c r="CL621" s="1684"/>
      <c r="CM621" s="1684">
        <f>SUM(CM596:CQ620)</f>
        <v>0</v>
      </c>
      <c r="CN621" s="1684"/>
      <c r="CO621" s="1684"/>
      <c r="CP621" s="1684"/>
      <c r="CQ621" s="1684"/>
      <c r="CR621" s="386"/>
      <c r="CS621" s="1684">
        <f>SUM(CS596:CW620)</f>
        <v>0</v>
      </c>
      <c r="CT621" s="1684"/>
      <c r="CU621" s="1684"/>
      <c r="CV621" s="1684"/>
      <c r="CW621" s="1684"/>
      <c r="CX621" s="1684">
        <f>SUM(CX596:DB620)</f>
        <v>11</v>
      </c>
      <c r="CY621" s="1684"/>
      <c r="CZ621" s="1684"/>
      <c r="DA621" s="1684"/>
      <c r="DB621" s="1684"/>
      <c r="DC621" s="1684">
        <f>SUM(DC596:DG620)</f>
        <v>7</v>
      </c>
      <c r="DD621" s="1684"/>
      <c r="DE621" s="1684"/>
      <c r="DF621" s="1684"/>
      <c r="DG621" s="1684"/>
      <c r="DH621" s="1684">
        <f>SUM(DH596:DL620)</f>
        <v>6</v>
      </c>
      <c r="DI621" s="1684"/>
      <c r="DJ621" s="1684"/>
      <c r="DK621" s="1684"/>
      <c r="DL621" s="1684"/>
      <c r="DM621" s="1684">
        <f>SUM(DM596:DQ620)</f>
        <v>0</v>
      </c>
      <c r="DN621" s="1684"/>
      <c r="DO621" s="1684"/>
      <c r="DP621" s="1684"/>
      <c r="DQ621" s="1684"/>
      <c r="DR621" s="1684">
        <f>SUM(DR596:DV620)</f>
        <v>0</v>
      </c>
      <c r="DS621" s="1684"/>
      <c r="DT621" s="1684"/>
      <c r="DU621" s="1684"/>
      <c r="DV621" s="1684"/>
      <c r="DX621" s="1684">
        <f>SUM(DX596:EB620)</f>
        <v>0</v>
      </c>
      <c r="DY621" s="1684"/>
      <c r="DZ621" s="1684"/>
      <c r="EA621" s="1684"/>
      <c r="EB621" s="1684"/>
      <c r="EC621" s="1684">
        <f>SUM(EC596:EG620)</f>
        <v>3618</v>
      </c>
      <c r="ED621" s="1684"/>
      <c r="EE621" s="1684"/>
      <c r="EF621" s="1684"/>
      <c r="EG621" s="1684"/>
      <c r="EH621" s="1684">
        <f>SUM(EH596:EL620)</f>
        <v>4342</v>
      </c>
      <c r="EI621" s="1684"/>
      <c r="EJ621" s="1684"/>
      <c r="EK621" s="1684"/>
      <c r="EL621" s="1684"/>
      <c r="EM621" s="1684">
        <f>SUM(EM596:EQ620)</f>
        <v>5016</v>
      </c>
      <c r="EN621" s="1684"/>
      <c r="EO621" s="1684"/>
      <c r="EP621" s="1684"/>
      <c r="EQ621" s="1684"/>
      <c r="ER621" s="1684">
        <f>SUM(ER596:EV620)</f>
        <v>0</v>
      </c>
      <c r="ES621" s="1684"/>
      <c r="ET621" s="1684"/>
      <c r="EU621" s="1684"/>
      <c r="EV621" s="1684"/>
      <c r="EW621" s="1684">
        <f>SUM(EW596:FA620)</f>
        <v>0</v>
      </c>
      <c r="EX621" s="1684"/>
      <c r="EY621" s="1684"/>
      <c r="EZ621" s="1684"/>
      <c r="FA621" s="1684"/>
    </row>
    <row r="622" spans="1:157" ht="12.9" customHeight="1">
      <c r="B622" s="1850"/>
      <c r="C622" s="1850"/>
      <c r="D622" s="1850"/>
      <c r="E622" s="1850"/>
      <c r="F622" s="1850"/>
      <c r="G622" s="1850"/>
      <c r="H622" s="1850"/>
      <c r="I622" s="1850"/>
      <c r="J622" s="1850"/>
      <c r="K622" s="1850"/>
      <c r="L622" s="1850"/>
      <c r="M622" s="1513"/>
      <c r="N622" s="1513"/>
      <c r="O622" s="1513"/>
      <c r="P622" s="1513"/>
      <c r="Q622" s="1513"/>
      <c r="R622" s="1513"/>
      <c r="S622" s="1513"/>
      <c r="T622" s="1513"/>
      <c r="U622" s="1513"/>
      <c r="V622" s="1513"/>
      <c r="W622" s="1849"/>
      <c r="X622" s="1849"/>
      <c r="Y622" s="1849"/>
      <c r="Z622" s="1416"/>
      <c r="AA622" s="1416"/>
      <c r="AB622" s="1417"/>
      <c r="AC622" s="1742"/>
      <c r="AD622" s="1743"/>
      <c r="AE622" s="1744"/>
      <c r="AF622" s="1415"/>
      <c r="AG622" s="1416"/>
      <c r="AH622" s="1416"/>
      <c r="AI622" s="1416"/>
      <c r="AJ622" s="1417"/>
      <c r="AK622" s="1732"/>
      <c r="AL622" s="1733"/>
      <c r="AM622" s="1733"/>
      <c r="AN622" s="1734"/>
      <c r="AO622" s="1513"/>
      <c r="AP622" s="1513"/>
      <c r="AQ622" s="1513"/>
      <c r="AR622" s="1513"/>
      <c r="AS622" s="151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2122</v>
      </c>
      <c r="CM622" s="1420">
        <f>BN621+BS621+BX621+CC621+CH621+CM621</f>
        <v>226</v>
      </c>
      <c r="CN622" s="1843"/>
      <c r="CO622" s="1843"/>
      <c r="CP622" s="1843"/>
      <c r="CQ622" s="1421"/>
      <c r="CR622" s="386"/>
      <c r="CS622" s="3"/>
      <c r="CT622" s="3"/>
      <c r="CU622" s="3"/>
      <c r="CV622" s="3"/>
      <c r="CW622" s="3"/>
      <c r="CX622" s="3"/>
      <c r="CY622" s="3"/>
      <c r="CZ622" s="3"/>
      <c r="DA622" s="3"/>
      <c r="DB622" s="3"/>
      <c r="DC622" s="3"/>
      <c r="DD622" s="3"/>
      <c r="DE622" s="3"/>
      <c r="DF622" s="3"/>
    </row>
    <row r="623" spans="1:157" ht="12.9" customHeight="1">
      <c r="B623" s="51" t="s">
        <v>113</v>
      </c>
      <c r="C623" s="1704" t="s">
        <v>2704</v>
      </c>
      <c r="D623" s="1704"/>
      <c r="E623" s="1704"/>
      <c r="F623" s="1704"/>
      <c r="G623" s="1704"/>
      <c r="H623" s="1704"/>
      <c r="I623" s="1704"/>
      <c r="J623" s="1704"/>
      <c r="K623" s="1704"/>
      <c r="L623" s="1704"/>
      <c r="M623" s="1848" t="s">
        <v>2540</v>
      </c>
      <c r="N623" s="1848"/>
      <c r="O623" s="1848"/>
      <c r="P623" s="1848"/>
      <c r="Q623" s="1545">
        <v>216</v>
      </c>
      <c r="R623" s="1545"/>
      <c r="S623" s="1747"/>
      <c r="T623" s="1746">
        <v>480</v>
      </c>
      <c r="U623" s="1545"/>
      <c r="V623" s="1747"/>
      <c r="W623" s="1590">
        <v>6.1499999999999999E-2</v>
      </c>
      <c r="X623" s="1591"/>
      <c r="Y623" s="1592"/>
      <c r="Z623" s="1706" t="s">
        <v>2552</v>
      </c>
      <c r="AA623" s="1707"/>
      <c r="AB623" s="1708"/>
      <c r="AC623" s="1429">
        <v>1</v>
      </c>
      <c r="AD623" s="1430"/>
      <c r="AE623" s="1431"/>
      <c r="AF623" s="1575">
        <v>2729045</v>
      </c>
      <c r="AG623" s="1576"/>
      <c r="AH623" s="1576"/>
      <c r="AI623" s="1576"/>
      <c r="AJ623" s="1577"/>
      <c r="AK623" s="1593"/>
      <c r="AL623" s="1594"/>
      <c r="AM623" s="1594"/>
      <c r="AN623" s="1595"/>
      <c r="AO623" s="1616">
        <v>40559667</v>
      </c>
      <c r="AP623" s="1616"/>
      <c r="AQ623" s="1616"/>
      <c r="AR623" s="1616"/>
      <c r="AS623" s="1616"/>
      <c r="AT623" s="3"/>
      <c r="AU623" s="3"/>
      <c r="AV623" s="3"/>
      <c r="AW623" s="3"/>
      <c r="AX623" s="3"/>
      <c r="AY623" s="3"/>
      <c r="AZ623" s="3"/>
      <c r="BA623" s="3" t="s">
        <v>1326</v>
      </c>
      <c r="BB623" s="3"/>
      <c r="BC623" s="3"/>
      <c r="BD623" s="3"/>
      <c r="BE623" s="3"/>
      <c r="BF623" s="3"/>
      <c r="BG623" s="3"/>
      <c r="BH623" s="3"/>
      <c r="BI623" s="3"/>
      <c r="BJ623" s="3"/>
      <c r="BK623" s="3"/>
      <c r="BL623" s="3"/>
      <c r="BM623" s="3"/>
      <c r="BR623" s="897">
        <f>BN621*1</f>
        <v>0</v>
      </c>
      <c r="BS623" s="3"/>
      <c r="BT623" s="3"/>
      <c r="BU623" s="3"/>
      <c r="BV623" s="3"/>
      <c r="BW623" s="897">
        <f>BS621*1</f>
        <v>105</v>
      </c>
      <c r="BX623" s="3"/>
      <c r="BY623" s="3"/>
      <c r="BZ623" s="3"/>
      <c r="CA623" s="3"/>
      <c r="CB623" s="897">
        <f>BX621*2</f>
        <v>122</v>
      </c>
      <c r="CC623" s="3"/>
      <c r="CD623" s="3"/>
      <c r="CE623" s="3"/>
      <c r="CF623" s="3"/>
      <c r="CG623" s="897">
        <f>CC621*3</f>
        <v>180</v>
      </c>
      <c r="CH623" s="3"/>
      <c r="CI623" s="3"/>
      <c r="CJ623" s="3"/>
      <c r="CK623" s="3"/>
      <c r="CL623" s="897">
        <f>CH621*4</f>
        <v>0</v>
      </c>
      <c r="CM623" s="3"/>
      <c r="CN623" s="3"/>
      <c r="CO623" s="3"/>
      <c r="CP623" s="3"/>
      <c r="CQ623" s="897">
        <f>CM621*5</f>
        <v>0</v>
      </c>
      <c r="CS623" s="897">
        <f>BR623+BW623+CB623+CG623+CL623+CQ623</f>
        <v>407</v>
      </c>
      <c r="CT623" s="57" t="s">
        <v>2124</v>
      </c>
      <c r="CU623" s="3"/>
      <c r="CV623" s="3"/>
      <c r="CW623" s="3"/>
      <c r="CX623" s="3"/>
      <c r="CY623" s="3"/>
      <c r="CZ623" s="3"/>
      <c r="DA623" s="3"/>
      <c r="DB623" s="3"/>
      <c r="DC623" s="3"/>
      <c r="DD623" s="3"/>
      <c r="DE623" s="3"/>
      <c r="DF623" s="3"/>
    </row>
    <row r="624" spans="1:157" ht="12.9" customHeight="1">
      <c r="B624" s="52" t="s">
        <v>114</v>
      </c>
      <c r="C624" s="1704" t="s">
        <v>2670</v>
      </c>
      <c r="D624" s="1704"/>
      <c r="E624" s="1704"/>
      <c r="F624" s="1704"/>
      <c r="G624" s="1704"/>
      <c r="H624" s="1704"/>
      <c r="I624" s="1704"/>
      <c r="J624" s="1704"/>
      <c r="K624" s="1704"/>
      <c r="L624" s="1704"/>
      <c r="M624" s="1848" t="s">
        <v>2542</v>
      </c>
      <c r="N624" s="1848"/>
      <c r="O624" s="1848"/>
      <c r="P624" s="1848"/>
      <c r="Q624" s="1746"/>
      <c r="R624" s="1545"/>
      <c r="S624" s="1747"/>
      <c r="T624" s="1746"/>
      <c r="U624" s="1545"/>
      <c r="V624" s="1747"/>
      <c r="W624" s="1590"/>
      <c r="X624" s="1591"/>
      <c r="Y624" s="1592"/>
      <c r="Z624" s="1706" t="s">
        <v>1326</v>
      </c>
      <c r="AA624" s="1707"/>
      <c r="AB624" s="1708"/>
      <c r="AC624" s="1429"/>
      <c r="AD624" s="1430"/>
      <c r="AE624" s="1431"/>
      <c r="AF624" s="1575"/>
      <c r="AG624" s="1576"/>
      <c r="AH624" s="1576"/>
      <c r="AI624" s="1576"/>
      <c r="AJ624" s="1577"/>
      <c r="AK624" s="1593"/>
      <c r="AL624" s="1594"/>
      <c r="AM624" s="1594"/>
      <c r="AN624" s="1595"/>
      <c r="AO624" s="1596">
        <v>3475174</v>
      </c>
      <c r="AP624" s="1597"/>
      <c r="AQ624" s="1597"/>
      <c r="AR624" s="1597"/>
      <c r="AS624" s="1598"/>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47" t="e">
        <f t="shared" ref="DX624:DX648" si="23">DX596*(BN596/$BN$621)</f>
        <v>#VALUE!</v>
      </c>
      <c r="DY624" s="1847"/>
      <c r="DZ624" s="1847"/>
      <c r="EA624" s="1847"/>
      <c r="EB624" s="1847"/>
      <c r="EC624" s="1847">
        <f t="shared" ref="EC624:EC648" si="24">EC596*(BS596/$BS$621)</f>
        <v>81.19047619047619</v>
      </c>
      <c r="ED624" s="1847"/>
      <c r="EE624" s="1847"/>
      <c r="EF624" s="1847"/>
      <c r="EG624" s="1847"/>
      <c r="EH624" s="1847" t="e">
        <f t="shared" ref="EH624:EH648" si="25">EH596*(BX596/$BX$621)</f>
        <v>#VALUE!</v>
      </c>
      <c r="EI624" s="1847"/>
      <c r="EJ624" s="1847"/>
      <c r="EK624" s="1847"/>
      <c r="EL624" s="1847"/>
      <c r="EM624" s="1847" t="e">
        <f t="shared" ref="EM624:EM648" si="26">EM596*(CC596/$CC$621)</f>
        <v>#VALUE!</v>
      </c>
      <c r="EN624" s="1847"/>
      <c r="EO624" s="1847"/>
      <c r="EP624" s="1847"/>
      <c r="EQ624" s="1847"/>
      <c r="ER624" s="1847" t="e">
        <f t="shared" ref="ER624:ER648" si="27">ER596*(CH596/$CH$621)</f>
        <v>#VALUE!</v>
      </c>
      <c r="ES624" s="1847"/>
      <c r="ET624" s="1847"/>
      <c r="EU624" s="1847"/>
      <c r="EV624" s="1847"/>
      <c r="EW624" s="1847" t="e">
        <f t="shared" ref="EW624:EW648" si="28">EW596*(CM596/$CM$621)</f>
        <v>#VALUE!</v>
      </c>
      <c r="EX624" s="1847"/>
      <c r="EY624" s="1847"/>
      <c r="EZ624" s="1847"/>
      <c r="FA624" s="1847"/>
    </row>
    <row r="625" spans="1:157" ht="12.9" customHeight="1">
      <c r="B625" s="52" t="s">
        <v>120</v>
      </c>
      <c r="C625" s="1704" t="s">
        <v>2737</v>
      </c>
      <c r="D625" s="1704"/>
      <c r="E625" s="1704"/>
      <c r="F625" s="1704"/>
      <c r="G625" s="1704"/>
      <c r="H625" s="1704"/>
      <c r="I625" s="1704"/>
      <c r="J625" s="1704"/>
      <c r="K625" s="1704"/>
      <c r="L625" s="1704"/>
      <c r="M625" s="1848" t="s">
        <v>2527</v>
      </c>
      <c r="N625" s="1848"/>
      <c r="O625" s="1848"/>
      <c r="P625" s="1848"/>
      <c r="Q625" s="1746"/>
      <c r="R625" s="1545"/>
      <c r="S625" s="1747"/>
      <c r="T625" s="1746"/>
      <c r="U625" s="1545"/>
      <c r="V625" s="1747"/>
      <c r="W625" s="1590"/>
      <c r="X625" s="1591"/>
      <c r="Y625" s="1592"/>
      <c r="Z625" s="1706" t="s">
        <v>1326</v>
      </c>
      <c r="AA625" s="1707"/>
      <c r="AB625" s="1708"/>
      <c r="AC625" s="1429"/>
      <c r="AD625" s="1430"/>
      <c r="AE625" s="1431"/>
      <c r="AF625" s="1575"/>
      <c r="AG625" s="1576"/>
      <c r="AH625" s="1576"/>
      <c r="AI625" s="1576"/>
      <c r="AJ625" s="1577"/>
      <c r="AK625" s="1593"/>
      <c r="AL625" s="1594"/>
      <c r="AM625" s="1594"/>
      <c r="AN625" s="1595"/>
      <c r="AO625" s="1596">
        <v>8512104</v>
      </c>
      <c r="AP625" s="1597"/>
      <c r="AQ625" s="1597"/>
      <c r="AR625" s="1597"/>
      <c r="AS625" s="1598"/>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47" t="e">
        <f t="shared" si="23"/>
        <v>#VALUE!</v>
      </c>
      <c r="DY625" s="1847"/>
      <c r="DZ625" s="1847"/>
      <c r="EA625" s="1847"/>
      <c r="EB625" s="1847"/>
      <c r="EC625" s="1847">
        <f t="shared" si="24"/>
        <v>135.35238095238097</v>
      </c>
      <c r="ED625" s="1847"/>
      <c r="EE625" s="1847"/>
      <c r="EF625" s="1847"/>
      <c r="EG625" s="1847"/>
      <c r="EH625" s="1847" t="e">
        <f t="shared" si="25"/>
        <v>#VALUE!</v>
      </c>
      <c r="EI625" s="1847"/>
      <c r="EJ625" s="1847"/>
      <c r="EK625" s="1847"/>
      <c r="EL625" s="1847"/>
      <c r="EM625" s="1847" t="e">
        <f t="shared" si="26"/>
        <v>#VALUE!</v>
      </c>
      <c r="EN625" s="1847"/>
      <c r="EO625" s="1847"/>
      <c r="EP625" s="1847"/>
      <c r="EQ625" s="1847"/>
      <c r="ER625" s="1847" t="e">
        <f t="shared" si="27"/>
        <v>#VALUE!</v>
      </c>
      <c r="ES625" s="1847"/>
      <c r="ET625" s="1847"/>
      <c r="EU625" s="1847"/>
      <c r="EV625" s="1847"/>
      <c r="EW625" s="1847" t="e">
        <f t="shared" si="28"/>
        <v>#VALUE!</v>
      </c>
      <c r="EX625" s="1847"/>
      <c r="EY625" s="1847"/>
      <c r="EZ625" s="1847"/>
      <c r="FA625" s="1847"/>
    </row>
    <row r="626" spans="1:157" ht="12.9" customHeight="1">
      <c r="B626" s="52" t="s">
        <v>591</v>
      </c>
      <c r="C626" s="1705"/>
      <c r="D626" s="1705"/>
      <c r="E626" s="1705"/>
      <c r="F626" s="1705"/>
      <c r="G626" s="1705"/>
      <c r="H626" s="1705"/>
      <c r="I626" s="1705"/>
      <c r="J626" s="1705"/>
      <c r="K626" s="1705"/>
      <c r="L626" s="1705"/>
      <c r="M626" s="1848" t="s">
        <v>1326</v>
      </c>
      <c r="N626" s="1848"/>
      <c r="O626" s="1848"/>
      <c r="P626" s="1848"/>
      <c r="Q626" s="1746"/>
      <c r="R626" s="1545"/>
      <c r="S626" s="1747"/>
      <c r="T626" s="1746"/>
      <c r="U626" s="1545"/>
      <c r="V626" s="1747"/>
      <c r="W626" s="1590"/>
      <c r="X626" s="1591"/>
      <c r="Y626" s="1592"/>
      <c r="Z626" s="1706" t="s">
        <v>1326</v>
      </c>
      <c r="AA626" s="1707"/>
      <c r="AB626" s="1708"/>
      <c r="AC626" s="1429"/>
      <c r="AD626" s="1430"/>
      <c r="AE626" s="1431"/>
      <c r="AF626" s="1575"/>
      <c r="AG626" s="1576"/>
      <c r="AH626" s="1576"/>
      <c r="AI626" s="1576"/>
      <c r="AJ626" s="1577"/>
      <c r="AK626" s="1593"/>
      <c r="AL626" s="1594"/>
      <c r="AM626" s="1594"/>
      <c r="AN626" s="1595"/>
      <c r="AO626" s="1596"/>
      <c r="AP626" s="1597"/>
      <c r="AQ626" s="1597"/>
      <c r="AR626" s="1597"/>
      <c r="AS626" s="1598"/>
      <c r="AT626" s="1201" t="str">
        <f t="shared" si="29"/>
        <v/>
      </c>
      <c r="AU626" s="3"/>
      <c r="AV626" s="3"/>
      <c r="AW626" s="3"/>
      <c r="AX626" s="3"/>
      <c r="AY626" s="3"/>
      <c r="AZ626" s="34"/>
      <c r="BA626" s="3" t="s">
        <v>2552</v>
      </c>
      <c r="BB626" s="34"/>
      <c r="BC626" s="34"/>
      <c r="BD626" s="34"/>
      <c r="BE626" s="34"/>
      <c r="BF626" s="34"/>
      <c r="BG626" s="34"/>
      <c r="BH626" s="34"/>
      <c r="BI626" s="34"/>
      <c r="BJ626" s="34"/>
      <c r="BK626" s="34"/>
      <c r="BL626" s="34"/>
      <c r="BM626" s="34"/>
      <c r="BN626" s="1505">
        <f>IF(J758="SRO/Studio",O758,0)</f>
        <v>0</v>
      </c>
      <c r="BO626" s="1506"/>
      <c r="BP626" s="1506"/>
      <c r="BQ626" s="1506"/>
      <c r="BR626" s="1507"/>
      <c r="BS626" s="1396">
        <f>IF(J758="1 Bedroom",O758,0)</f>
        <v>0</v>
      </c>
      <c r="BT626" s="1396"/>
      <c r="BU626" s="1396"/>
      <c r="BV626" s="1396"/>
      <c r="BW626" s="1396"/>
      <c r="BX626" s="1396">
        <f>IF(J758="2 Bedrooms",O758,0)</f>
        <v>2</v>
      </c>
      <c r="BY626" s="1396"/>
      <c r="BZ626" s="1396"/>
      <c r="CA626" s="1396"/>
      <c r="CB626" s="1396"/>
      <c r="CC626" s="1396">
        <f>IF(J758="3 Bedrooms",O758,0)</f>
        <v>0</v>
      </c>
      <c r="CD626" s="1396"/>
      <c r="CE626" s="1396"/>
      <c r="CF626" s="1396"/>
      <c r="CG626" s="1396"/>
      <c r="CH626" s="1396">
        <f>IF(J758="4 Bedrooms",O758,0)</f>
        <v>0</v>
      </c>
      <c r="CI626" s="1396"/>
      <c r="CJ626" s="1396"/>
      <c r="CK626" s="1396"/>
      <c r="CL626" s="1396"/>
      <c r="CM626" s="1396">
        <f>IF(J758="5 Bedrooms",O758,0)</f>
        <v>0</v>
      </c>
      <c r="CN626" s="1396"/>
      <c r="CO626" s="1396"/>
      <c r="CP626" s="1396"/>
      <c r="CQ626" s="1396"/>
      <c r="CR626" s="6"/>
      <c r="CS626" s="3"/>
      <c r="CT626" s="3"/>
      <c r="CU626" s="3"/>
      <c r="CV626" s="3"/>
      <c r="CW626" s="3"/>
      <c r="CX626" s="3"/>
      <c r="CY626" s="3"/>
      <c r="CZ626" s="3"/>
      <c r="DA626" s="3"/>
      <c r="DB626" s="3"/>
      <c r="DC626" s="3"/>
      <c r="DD626" s="3"/>
      <c r="DE626" s="3"/>
      <c r="DF626" s="3"/>
      <c r="DX626" s="1847" t="e">
        <f t="shared" si="23"/>
        <v>#VALUE!</v>
      </c>
      <c r="DY626" s="1847"/>
      <c r="DZ626" s="1847"/>
      <c r="EA626" s="1847"/>
      <c r="EB626" s="1847"/>
      <c r="EC626" s="1847">
        <f t="shared" si="24"/>
        <v>1226.0285714285715</v>
      </c>
      <c r="ED626" s="1847"/>
      <c r="EE626" s="1847"/>
      <c r="EF626" s="1847"/>
      <c r="EG626" s="1847"/>
      <c r="EH626" s="1847" t="e">
        <f t="shared" si="25"/>
        <v>#VALUE!</v>
      </c>
      <c r="EI626" s="1847"/>
      <c r="EJ626" s="1847"/>
      <c r="EK626" s="1847"/>
      <c r="EL626" s="1847"/>
      <c r="EM626" s="1847" t="e">
        <f t="shared" si="26"/>
        <v>#VALUE!</v>
      </c>
      <c r="EN626" s="1847"/>
      <c r="EO626" s="1847"/>
      <c r="EP626" s="1847"/>
      <c r="EQ626" s="1847"/>
      <c r="ER626" s="1847" t="e">
        <f t="shared" si="27"/>
        <v>#VALUE!</v>
      </c>
      <c r="ES626" s="1847"/>
      <c r="ET626" s="1847"/>
      <c r="EU626" s="1847"/>
      <c r="EV626" s="1847"/>
      <c r="EW626" s="1847" t="e">
        <f t="shared" si="28"/>
        <v>#VALUE!</v>
      </c>
      <c r="EX626" s="1847"/>
      <c r="EY626" s="1847"/>
      <c r="EZ626" s="1847"/>
      <c r="FA626" s="1847"/>
    </row>
    <row r="627" spans="1:157" ht="12.9" customHeight="1">
      <c r="B627" s="52" t="s">
        <v>788</v>
      </c>
      <c r="C627" s="1705"/>
      <c r="D627" s="1705"/>
      <c r="E627" s="1705"/>
      <c r="F627" s="1705"/>
      <c r="G627" s="1705"/>
      <c r="H627" s="1705"/>
      <c r="I627" s="1705"/>
      <c r="J627" s="1705"/>
      <c r="K627" s="1705"/>
      <c r="L627" s="1705"/>
      <c r="M627" s="1848" t="s">
        <v>1326</v>
      </c>
      <c r="N627" s="1848"/>
      <c r="O627" s="1848"/>
      <c r="P627" s="1848"/>
      <c r="Q627" s="1746"/>
      <c r="R627" s="1545"/>
      <c r="S627" s="1747"/>
      <c r="T627" s="1746"/>
      <c r="U627" s="1545"/>
      <c r="V627" s="1747"/>
      <c r="W627" s="1590"/>
      <c r="X627" s="1591"/>
      <c r="Y627" s="1592"/>
      <c r="Z627" s="1706" t="s">
        <v>1326</v>
      </c>
      <c r="AA627" s="1707"/>
      <c r="AB627" s="1708"/>
      <c r="AC627" s="1429"/>
      <c r="AD627" s="1430"/>
      <c r="AE627" s="1431"/>
      <c r="AF627" s="1575"/>
      <c r="AG627" s="1576"/>
      <c r="AH627" s="1576"/>
      <c r="AI627" s="1576"/>
      <c r="AJ627" s="1577"/>
      <c r="AK627" s="1593"/>
      <c r="AL627" s="1594"/>
      <c r="AM627" s="1594"/>
      <c r="AN627" s="1595"/>
      <c r="AO627" s="1596"/>
      <c r="AP627" s="1597"/>
      <c r="AQ627" s="1597"/>
      <c r="AR627" s="1597"/>
      <c r="AS627" s="1598"/>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505">
        <f>IF(J759="SRO/Studio",O759,0)</f>
        <v>0</v>
      </c>
      <c r="BO627" s="1506"/>
      <c r="BP627" s="1506"/>
      <c r="BQ627" s="1506"/>
      <c r="BR627" s="1507"/>
      <c r="BS627" s="1396">
        <f>IF(J759="1 Bedroom",O759,0)</f>
        <v>0</v>
      </c>
      <c r="BT627" s="1396"/>
      <c r="BU627" s="1396"/>
      <c r="BV627" s="1396"/>
      <c r="BW627" s="1396"/>
      <c r="BX627" s="1396">
        <f>IF(J759="2 Bedrooms",O759,0)</f>
        <v>0</v>
      </c>
      <c r="BY627" s="1396"/>
      <c r="BZ627" s="1396"/>
      <c r="CA627" s="1396"/>
      <c r="CB627" s="1396"/>
      <c r="CC627" s="1396">
        <f>IF(J759="3 Bedrooms",O759,0)</f>
        <v>0</v>
      </c>
      <c r="CD627" s="1396"/>
      <c r="CE627" s="1396"/>
      <c r="CF627" s="1396"/>
      <c r="CG627" s="1396"/>
      <c r="CH627" s="1396">
        <f>IF(J759="4 Bedrooms",O759,0)</f>
        <v>0</v>
      </c>
      <c r="CI627" s="1396"/>
      <c r="CJ627" s="1396"/>
      <c r="CK627" s="1396"/>
      <c r="CL627" s="1396"/>
      <c r="CM627" s="1396">
        <f>IF(J759="5 Bedrooms",O759,0)</f>
        <v>0</v>
      </c>
      <c r="CN627" s="1396"/>
      <c r="CO627" s="1396"/>
      <c r="CP627" s="1396"/>
      <c r="CQ627" s="1396"/>
      <c r="CR627" s="6"/>
      <c r="CS627" s="3"/>
      <c r="CT627" s="3"/>
      <c r="CU627" s="3"/>
      <c r="CV627" s="3"/>
      <c r="CW627" s="3"/>
      <c r="CX627" s="3"/>
      <c r="CY627" s="3"/>
      <c r="CZ627" s="3"/>
      <c r="DA627" s="3"/>
      <c r="DB627" s="3"/>
      <c r="DC627" s="3"/>
      <c r="DD627" s="3"/>
      <c r="DE627" s="3"/>
      <c r="DF627" s="3"/>
      <c r="DX627" s="1847" t="e">
        <f t="shared" si="23"/>
        <v>#VALUE!</v>
      </c>
      <c r="DY627" s="1847"/>
      <c r="DZ627" s="1847"/>
      <c r="EA627" s="1847"/>
      <c r="EB627" s="1847"/>
      <c r="EC627" s="1847" t="e">
        <f t="shared" si="24"/>
        <v>#VALUE!</v>
      </c>
      <c r="ED627" s="1847"/>
      <c r="EE627" s="1847"/>
      <c r="EF627" s="1847"/>
      <c r="EG627" s="1847"/>
      <c r="EH627" s="1847">
        <f t="shared" si="25"/>
        <v>106.72131147540983</v>
      </c>
      <c r="EI627" s="1847"/>
      <c r="EJ627" s="1847"/>
      <c r="EK627" s="1847"/>
      <c r="EL627" s="1847"/>
      <c r="EM627" s="1847" t="e">
        <f t="shared" si="26"/>
        <v>#VALUE!</v>
      </c>
      <c r="EN627" s="1847"/>
      <c r="EO627" s="1847"/>
      <c r="EP627" s="1847"/>
      <c r="EQ627" s="1847"/>
      <c r="ER627" s="1847" t="e">
        <f t="shared" si="27"/>
        <v>#VALUE!</v>
      </c>
      <c r="ES627" s="1847"/>
      <c r="ET627" s="1847"/>
      <c r="EU627" s="1847"/>
      <c r="EV627" s="1847"/>
      <c r="EW627" s="1847" t="e">
        <f t="shared" si="28"/>
        <v>#VALUE!</v>
      </c>
      <c r="EX627" s="1847"/>
      <c r="EY627" s="1847"/>
      <c r="EZ627" s="1847"/>
      <c r="FA627" s="1847"/>
    </row>
    <row r="628" spans="1:157" ht="12.9" customHeight="1">
      <c r="B628" s="52" t="s">
        <v>594</v>
      </c>
      <c r="C628" s="1705"/>
      <c r="D628" s="1705"/>
      <c r="E628" s="1705"/>
      <c r="F628" s="1705"/>
      <c r="G628" s="1705"/>
      <c r="H628" s="1705"/>
      <c r="I628" s="1705"/>
      <c r="J628" s="1705"/>
      <c r="K628" s="1705"/>
      <c r="L628" s="1705"/>
      <c r="M628" s="1848" t="s">
        <v>1326</v>
      </c>
      <c r="N628" s="1848"/>
      <c r="O628" s="1848"/>
      <c r="P628" s="1848"/>
      <c r="Q628" s="1746"/>
      <c r="R628" s="1545"/>
      <c r="S628" s="1747"/>
      <c r="T628" s="1746"/>
      <c r="U628" s="1545"/>
      <c r="V628" s="1747"/>
      <c r="W628" s="1590"/>
      <c r="X628" s="1591"/>
      <c r="Y628" s="1592"/>
      <c r="Z628" s="1706" t="s">
        <v>1326</v>
      </c>
      <c r="AA628" s="1707"/>
      <c r="AB628" s="1708"/>
      <c r="AC628" s="1429"/>
      <c r="AD628" s="1430"/>
      <c r="AE628" s="1431"/>
      <c r="AF628" s="1575"/>
      <c r="AG628" s="1576"/>
      <c r="AH628" s="1576"/>
      <c r="AI628" s="1576"/>
      <c r="AJ628" s="1577"/>
      <c r="AK628" s="1593"/>
      <c r="AL628" s="1594"/>
      <c r="AM628" s="1594"/>
      <c r="AN628" s="1595"/>
      <c r="AO628" s="1596"/>
      <c r="AP628" s="1597"/>
      <c r="AQ628" s="1597"/>
      <c r="AR628" s="1597"/>
      <c r="AS628" s="1598"/>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05">
        <f>IF(J760="SRO/Studio",O760,0)</f>
        <v>0</v>
      </c>
      <c r="BO628" s="1506"/>
      <c r="BP628" s="1506"/>
      <c r="BQ628" s="1506"/>
      <c r="BR628" s="1507"/>
      <c r="BS628" s="1396">
        <f>IF(J760="1 Bedroom",O760,0)</f>
        <v>0</v>
      </c>
      <c r="BT628" s="1396"/>
      <c r="BU628" s="1396"/>
      <c r="BV628" s="1396"/>
      <c r="BW628" s="1396"/>
      <c r="BX628" s="1396">
        <f>IF(J760="2 Bedrooms",O760,0)</f>
        <v>0</v>
      </c>
      <c r="BY628" s="1396"/>
      <c r="BZ628" s="1396"/>
      <c r="CA628" s="1396"/>
      <c r="CB628" s="1396"/>
      <c r="CC628" s="1396">
        <f>IF(J760="3 Bedrooms",O760,0)</f>
        <v>0</v>
      </c>
      <c r="CD628" s="1396"/>
      <c r="CE628" s="1396"/>
      <c r="CF628" s="1396"/>
      <c r="CG628" s="1396"/>
      <c r="CH628" s="1396">
        <f>IF(J760="4 Bedrooms",O760,0)</f>
        <v>0</v>
      </c>
      <c r="CI628" s="1396"/>
      <c r="CJ628" s="1396"/>
      <c r="CK628" s="1396"/>
      <c r="CL628" s="1396"/>
      <c r="CM628" s="1396">
        <f>IF(J760="5 Bedrooms",O760,0)</f>
        <v>0</v>
      </c>
      <c r="CN628" s="1396"/>
      <c r="CO628" s="1396"/>
      <c r="CP628" s="1396"/>
      <c r="CQ628" s="1396"/>
      <c r="CR628" s="1049"/>
      <c r="CV628" s="3"/>
      <c r="CW628" s="3"/>
      <c r="CX628" s="3"/>
      <c r="CY628" s="3"/>
      <c r="CZ628" s="3"/>
      <c r="DA628" s="3"/>
      <c r="DB628" s="3"/>
      <c r="DC628" s="3"/>
      <c r="DD628" s="3"/>
      <c r="DE628" s="3"/>
      <c r="DF628" s="3"/>
      <c r="DX628" s="1847" t="e">
        <f t="shared" si="23"/>
        <v>#VALUE!</v>
      </c>
      <c r="DY628" s="1847"/>
      <c r="DZ628" s="1847"/>
      <c r="EA628" s="1847"/>
      <c r="EB628" s="1847"/>
      <c r="EC628" s="1847" t="e">
        <f t="shared" si="24"/>
        <v>#VALUE!</v>
      </c>
      <c r="ED628" s="1847"/>
      <c r="EE628" s="1847"/>
      <c r="EF628" s="1847"/>
      <c r="EG628" s="1847"/>
      <c r="EH628" s="1847">
        <f t="shared" si="25"/>
        <v>177.98360655737704</v>
      </c>
      <c r="EI628" s="1847"/>
      <c r="EJ628" s="1847"/>
      <c r="EK628" s="1847"/>
      <c r="EL628" s="1847"/>
      <c r="EM628" s="1847" t="e">
        <f t="shared" si="26"/>
        <v>#VALUE!</v>
      </c>
      <c r="EN628" s="1847"/>
      <c r="EO628" s="1847"/>
      <c r="EP628" s="1847"/>
      <c r="EQ628" s="1847"/>
      <c r="ER628" s="1847" t="e">
        <f t="shared" si="27"/>
        <v>#VALUE!</v>
      </c>
      <c r="ES628" s="1847"/>
      <c r="ET628" s="1847"/>
      <c r="EU628" s="1847"/>
      <c r="EV628" s="1847"/>
      <c r="EW628" s="1847" t="e">
        <f t="shared" si="28"/>
        <v>#VALUE!</v>
      </c>
      <c r="EX628" s="1847"/>
      <c r="EY628" s="1847"/>
      <c r="EZ628" s="1847"/>
      <c r="FA628" s="1847"/>
    </row>
    <row r="629" spans="1:157" ht="12.9" customHeight="1">
      <c r="B629" s="52" t="s">
        <v>465</v>
      </c>
      <c r="C629" s="1705"/>
      <c r="D629" s="1705"/>
      <c r="E629" s="1705"/>
      <c r="F629" s="1705"/>
      <c r="G629" s="1705"/>
      <c r="H629" s="1705"/>
      <c r="I629" s="1705"/>
      <c r="J629" s="1705"/>
      <c r="K629" s="1705"/>
      <c r="L629" s="1705"/>
      <c r="M629" s="1848" t="s">
        <v>1326</v>
      </c>
      <c r="N629" s="1848"/>
      <c r="O629" s="1848"/>
      <c r="P629" s="1848"/>
      <c r="Q629" s="1746"/>
      <c r="R629" s="1545"/>
      <c r="S629" s="1747"/>
      <c r="T629" s="1746"/>
      <c r="U629" s="1545"/>
      <c r="V629" s="1747"/>
      <c r="W629" s="1590"/>
      <c r="X629" s="1591"/>
      <c r="Y629" s="1592"/>
      <c r="Z629" s="1706" t="s">
        <v>1326</v>
      </c>
      <c r="AA629" s="1707"/>
      <c r="AB629" s="1708"/>
      <c r="AC629" s="1429"/>
      <c r="AD629" s="1430"/>
      <c r="AE629" s="1431"/>
      <c r="AF629" s="1575"/>
      <c r="AG629" s="1576"/>
      <c r="AH629" s="1576"/>
      <c r="AI629" s="1576"/>
      <c r="AJ629" s="1577"/>
      <c r="AK629" s="1593"/>
      <c r="AL629" s="1594"/>
      <c r="AM629" s="1594"/>
      <c r="AN629" s="1595"/>
      <c r="AO629" s="1596"/>
      <c r="AP629" s="1597"/>
      <c r="AQ629" s="1597"/>
      <c r="AR629" s="1597"/>
      <c r="AS629" s="1598"/>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05">
        <f>IF(J761="SRO/Studio",O761,0)</f>
        <v>0</v>
      </c>
      <c r="BO629" s="1506"/>
      <c r="BP629" s="1506"/>
      <c r="BQ629" s="1506"/>
      <c r="BR629" s="1507"/>
      <c r="BS629" s="1396">
        <f>IF(J761="1 Bedroom",O761,0)</f>
        <v>0</v>
      </c>
      <c r="BT629" s="1396"/>
      <c r="BU629" s="1396"/>
      <c r="BV629" s="1396"/>
      <c r="BW629" s="1396"/>
      <c r="BX629" s="1396">
        <f>IF(J761="2 Bedrooms",O761,0)</f>
        <v>0</v>
      </c>
      <c r="BY629" s="1396"/>
      <c r="BZ629" s="1396"/>
      <c r="CA629" s="1396"/>
      <c r="CB629" s="1396"/>
      <c r="CC629" s="1396">
        <f>IF(J761="3 Bedrooms",O761,0)</f>
        <v>0</v>
      </c>
      <c r="CD629" s="1396"/>
      <c r="CE629" s="1396"/>
      <c r="CF629" s="1396"/>
      <c r="CG629" s="1396"/>
      <c r="CH629" s="1396">
        <f>IF(J761="4 Bedrooms",O761,0)</f>
        <v>0</v>
      </c>
      <c r="CI629" s="1396"/>
      <c r="CJ629" s="1396"/>
      <c r="CK629" s="1396"/>
      <c r="CL629" s="1396"/>
      <c r="CM629" s="1396">
        <f>IF(J761="5 Bedrooms",O761,0)</f>
        <v>0</v>
      </c>
      <c r="CN629" s="1396"/>
      <c r="CO629" s="1396"/>
      <c r="CP629" s="1396"/>
      <c r="CQ629" s="1396"/>
      <c r="CV629" s="3"/>
      <c r="CW629" s="3"/>
      <c r="CX629" s="3"/>
      <c r="CY629" s="3"/>
      <c r="CZ629" s="3"/>
      <c r="DA629" s="3"/>
      <c r="DB629" s="3"/>
      <c r="DC629" s="3"/>
      <c r="DD629" s="3"/>
      <c r="DE629" s="3"/>
      <c r="DF629" s="3"/>
      <c r="DX629" s="1847" t="e">
        <f t="shared" si="23"/>
        <v>#VALUE!</v>
      </c>
      <c r="DY629" s="1847"/>
      <c r="DZ629" s="1847"/>
      <c r="EA629" s="1847"/>
      <c r="EB629" s="1847"/>
      <c r="EC629" s="1847" t="e">
        <f t="shared" si="24"/>
        <v>#VALUE!</v>
      </c>
      <c r="ED629" s="1847"/>
      <c r="EE629" s="1847"/>
      <c r="EF629" s="1847"/>
      <c r="EG629" s="1847"/>
      <c r="EH629" s="1847">
        <f t="shared" si="25"/>
        <v>1433.8852459016393</v>
      </c>
      <c r="EI629" s="1847"/>
      <c r="EJ629" s="1847"/>
      <c r="EK629" s="1847"/>
      <c r="EL629" s="1847"/>
      <c r="EM629" s="1847" t="e">
        <f t="shared" si="26"/>
        <v>#VALUE!</v>
      </c>
      <c r="EN629" s="1847"/>
      <c r="EO629" s="1847"/>
      <c r="EP629" s="1847"/>
      <c r="EQ629" s="1847"/>
      <c r="ER629" s="1847" t="e">
        <f t="shared" si="27"/>
        <v>#VALUE!</v>
      </c>
      <c r="ES629" s="1847"/>
      <c r="ET629" s="1847"/>
      <c r="EU629" s="1847"/>
      <c r="EV629" s="1847"/>
      <c r="EW629" s="1847" t="e">
        <f t="shared" si="28"/>
        <v>#VALUE!</v>
      </c>
      <c r="EX629" s="1847"/>
      <c r="EY629" s="1847"/>
      <c r="EZ629" s="1847"/>
      <c r="FA629" s="1847"/>
    </row>
    <row r="630" spans="1:157" ht="12.9" customHeight="1">
      <c r="B630" s="52" t="s">
        <v>466</v>
      </c>
      <c r="C630" s="1705"/>
      <c r="D630" s="1705"/>
      <c r="E630" s="1705"/>
      <c r="F630" s="1705"/>
      <c r="G630" s="1705"/>
      <c r="H630" s="1705"/>
      <c r="I630" s="1705"/>
      <c r="J630" s="1705"/>
      <c r="K630" s="1705"/>
      <c r="L630" s="1705"/>
      <c r="M630" s="1848" t="s">
        <v>1326</v>
      </c>
      <c r="N630" s="1848"/>
      <c r="O630" s="1848"/>
      <c r="P630" s="1848"/>
      <c r="Q630" s="1746"/>
      <c r="R630" s="1545"/>
      <c r="S630" s="1747"/>
      <c r="T630" s="1746"/>
      <c r="U630" s="1545"/>
      <c r="V630" s="1747"/>
      <c r="W630" s="1590"/>
      <c r="X630" s="1591"/>
      <c r="Y630" s="1592"/>
      <c r="Z630" s="1706" t="s">
        <v>1326</v>
      </c>
      <c r="AA630" s="1707"/>
      <c r="AB630" s="1708"/>
      <c r="AC630" s="1429"/>
      <c r="AD630" s="1430"/>
      <c r="AE630" s="1431"/>
      <c r="AF630" s="1575"/>
      <c r="AG630" s="1576"/>
      <c r="AH630" s="1576"/>
      <c r="AI630" s="1576"/>
      <c r="AJ630" s="1577"/>
      <c r="AK630" s="1593"/>
      <c r="AL630" s="1594"/>
      <c r="AM630" s="1594"/>
      <c r="AN630" s="1595"/>
      <c r="AO630" s="1596"/>
      <c r="AP630" s="1597"/>
      <c r="AQ630" s="1597"/>
      <c r="AR630" s="1597"/>
      <c r="AS630" s="1598"/>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94">
        <f>SUM(BN626:BR629)</f>
        <v>0</v>
      </c>
      <c r="BO630" s="1508"/>
      <c r="BP630" s="1508"/>
      <c r="BQ630" s="1508"/>
      <c r="BR630" s="1495"/>
      <c r="BS630" s="1697">
        <f>SUM(BS626:BW629)</f>
        <v>0</v>
      </c>
      <c r="BT630" s="1698"/>
      <c r="BU630" s="1698"/>
      <c r="BV630" s="1698"/>
      <c r="BW630" s="1699"/>
      <c r="BX630" s="1697">
        <f>SUM(BX626:CB629)</f>
        <v>2</v>
      </c>
      <c r="BY630" s="1698"/>
      <c r="BZ630" s="1698"/>
      <c r="CA630" s="1698"/>
      <c r="CB630" s="1699"/>
      <c r="CC630" s="1697">
        <f>SUM(CC626:CG629)</f>
        <v>0</v>
      </c>
      <c r="CD630" s="1698"/>
      <c r="CE630" s="1698"/>
      <c r="CF630" s="1698"/>
      <c r="CG630" s="1699"/>
      <c r="CH630" s="1697">
        <f>SUM(CH626:CL629)</f>
        <v>0</v>
      </c>
      <c r="CI630" s="1698"/>
      <c r="CJ630" s="1698"/>
      <c r="CK630" s="1698"/>
      <c r="CL630" s="1699"/>
      <c r="CM630" s="1697">
        <f>SUM(CM626:CQ629)</f>
        <v>0</v>
      </c>
      <c r="CN630" s="1698"/>
      <c r="CO630" s="1698"/>
      <c r="CP630" s="1698"/>
      <c r="CQ630" s="1699"/>
      <c r="CS630" s="897">
        <f>BN630+BS630+BX630+CC630+CH630+CM630</f>
        <v>2</v>
      </c>
      <c r="CT630" s="57" t="s">
        <v>2121</v>
      </c>
      <c r="CU630" s="3"/>
      <c r="CV630" s="3"/>
      <c r="CW630" s="3"/>
      <c r="CX630" s="3"/>
      <c r="CY630" s="3"/>
      <c r="CZ630" s="3"/>
      <c r="DA630" s="3"/>
      <c r="DB630" s="3"/>
      <c r="DC630" s="3"/>
      <c r="DD630" s="3"/>
      <c r="DE630" s="3"/>
      <c r="DF630" s="3"/>
      <c r="DX630" s="1847" t="e">
        <f t="shared" si="23"/>
        <v>#VALUE!</v>
      </c>
      <c r="DY630" s="1847"/>
      <c r="DZ630" s="1847"/>
      <c r="EA630" s="1847"/>
      <c r="EB630" s="1847"/>
      <c r="EC630" s="1847" t="e">
        <f t="shared" si="24"/>
        <v>#VALUE!</v>
      </c>
      <c r="ED630" s="1847"/>
      <c r="EE630" s="1847"/>
      <c r="EF630" s="1847"/>
      <c r="EG630" s="1847"/>
      <c r="EH630" s="1847" t="e">
        <f t="shared" si="25"/>
        <v>#VALUE!</v>
      </c>
      <c r="EI630" s="1847"/>
      <c r="EJ630" s="1847"/>
      <c r="EK630" s="1847"/>
      <c r="EL630" s="1847"/>
      <c r="EM630" s="1847">
        <f t="shared" si="26"/>
        <v>107.5</v>
      </c>
      <c r="EN630" s="1847"/>
      <c r="EO630" s="1847"/>
      <c r="EP630" s="1847"/>
      <c r="EQ630" s="1847"/>
      <c r="ER630" s="1847" t="e">
        <f t="shared" si="27"/>
        <v>#VALUE!</v>
      </c>
      <c r="ES630" s="1847"/>
      <c r="ET630" s="1847"/>
      <c r="EU630" s="1847"/>
      <c r="EV630" s="1847"/>
      <c r="EW630" s="1847" t="e">
        <f t="shared" si="28"/>
        <v>#VALUE!</v>
      </c>
      <c r="EX630" s="1847"/>
      <c r="EY630" s="1847"/>
      <c r="EZ630" s="1847"/>
      <c r="FA630" s="1847"/>
    </row>
    <row r="631" spans="1:157" ht="12.9" customHeight="1">
      <c r="B631" s="52" t="s">
        <v>471</v>
      </c>
      <c r="C631" s="1705"/>
      <c r="D631" s="1705"/>
      <c r="E631" s="1705"/>
      <c r="F631" s="1705"/>
      <c r="G631" s="1705"/>
      <c r="H631" s="1705"/>
      <c r="I631" s="1705"/>
      <c r="J631" s="1705"/>
      <c r="K631" s="1705"/>
      <c r="L631" s="1705"/>
      <c r="M631" s="1848" t="s">
        <v>1326</v>
      </c>
      <c r="N631" s="1848"/>
      <c r="O631" s="1848"/>
      <c r="P631" s="1848"/>
      <c r="Q631" s="1746"/>
      <c r="R631" s="1545"/>
      <c r="S631" s="1747"/>
      <c r="T631" s="1746"/>
      <c r="U631" s="1545"/>
      <c r="V631" s="1747"/>
      <c r="W631" s="1590"/>
      <c r="X631" s="1591"/>
      <c r="Y631" s="1592"/>
      <c r="Z631" s="1706" t="s">
        <v>1326</v>
      </c>
      <c r="AA631" s="1707"/>
      <c r="AB631" s="1708"/>
      <c r="AC631" s="1429"/>
      <c r="AD631" s="1430"/>
      <c r="AE631" s="1431"/>
      <c r="AF631" s="1575"/>
      <c r="AG631" s="1576"/>
      <c r="AH631" s="1576"/>
      <c r="AI631" s="1576"/>
      <c r="AJ631" s="1577"/>
      <c r="AK631" s="1593"/>
      <c r="AL631" s="1594"/>
      <c r="AM631" s="1594"/>
      <c r="AN631" s="1595"/>
      <c r="AO631" s="1596"/>
      <c r="AP631" s="1597"/>
      <c r="AQ631" s="1597"/>
      <c r="AR631" s="1597"/>
      <c r="AS631" s="1598"/>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4</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4</v>
      </c>
      <c r="CT631" s="57" t="s">
        <v>2123</v>
      </c>
      <c r="CU631" s="3"/>
      <c r="CV631" s="3"/>
      <c r="CW631" s="3"/>
      <c r="CX631" s="3"/>
      <c r="CY631" s="3"/>
      <c r="CZ631" s="3"/>
      <c r="DA631" s="3"/>
      <c r="DB631" s="3"/>
      <c r="DC631" s="3"/>
      <c r="DD631" s="3"/>
      <c r="DE631" s="3"/>
      <c r="DF631" s="3"/>
      <c r="DX631" s="1847" t="e">
        <f t="shared" si="23"/>
        <v>#VALUE!</v>
      </c>
      <c r="DY631" s="1847"/>
      <c r="DZ631" s="1847"/>
      <c r="EA631" s="1847"/>
      <c r="EB631" s="1847"/>
      <c r="EC631" s="1847" t="e">
        <f t="shared" si="24"/>
        <v>#VALUE!</v>
      </c>
      <c r="ED631" s="1847"/>
      <c r="EE631" s="1847"/>
      <c r="EF631" s="1847"/>
      <c r="EG631" s="1847"/>
      <c r="EH631" s="1847" t="e">
        <f t="shared" si="25"/>
        <v>#VALUE!</v>
      </c>
      <c r="EI631" s="1847"/>
      <c r="EJ631" s="1847"/>
      <c r="EK631" s="1847"/>
      <c r="EL631" s="1847"/>
      <c r="EM631" s="1847">
        <f t="shared" si="26"/>
        <v>179.10000000000002</v>
      </c>
      <c r="EN631" s="1847"/>
      <c r="EO631" s="1847"/>
      <c r="EP631" s="1847"/>
      <c r="EQ631" s="1847"/>
      <c r="ER631" s="1847" t="e">
        <f t="shared" si="27"/>
        <v>#VALUE!</v>
      </c>
      <c r="ES631" s="1847"/>
      <c r="ET631" s="1847"/>
      <c r="EU631" s="1847"/>
      <c r="EV631" s="1847"/>
      <c r="EW631" s="1847" t="e">
        <f t="shared" si="28"/>
        <v>#VALUE!</v>
      </c>
      <c r="EX631" s="1847"/>
      <c r="EY631" s="1847"/>
      <c r="EZ631" s="1847"/>
      <c r="FA631" s="1847"/>
    </row>
    <row r="632" spans="1:157" ht="12.9" customHeight="1">
      <c r="B632" s="52" t="s">
        <v>656</v>
      </c>
      <c r="C632" s="1705"/>
      <c r="D632" s="1705"/>
      <c r="E632" s="1705"/>
      <c r="F632" s="1705"/>
      <c r="G632" s="1705"/>
      <c r="H632" s="1705"/>
      <c r="I632" s="1705"/>
      <c r="J632" s="1705"/>
      <c r="K632" s="1705"/>
      <c r="L632" s="1705"/>
      <c r="M632" s="1848" t="s">
        <v>1326</v>
      </c>
      <c r="N632" s="1848"/>
      <c r="O632" s="1848"/>
      <c r="P632" s="1848"/>
      <c r="Q632" s="1746"/>
      <c r="R632" s="1545"/>
      <c r="S632" s="1747"/>
      <c r="T632" s="1746"/>
      <c r="U632" s="1545"/>
      <c r="V632" s="1747"/>
      <c r="W632" s="1590"/>
      <c r="X632" s="1591"/>
      <c r="Y632" s="1592"/>
      <c r="Z632" s="1706" t="s">
        <v>1326</v>
      </c>
      <c r="AA632" s="1707"/>
      <c r="AB632" s="1708"/>
      <c r="AC632" s="1429"/>
      <c r="AD632" s="1430"/>
      <c r="AE632" s="1431"/>
      <c r="AF632" s="1575"/>
      <c r="AG632" s="1576"/>
      <c r="AH632" s="1576"/>
      <c r="AI632" s="1576"/>
      <c r="AJ632" s="1577"/>
      <c r="AK632" s="1593"/>
      <c r="AL632" s="1594"/>
      <c r="AM632" s="1594"/>
      <c r="AN632" s="1595"/>
      <c r="AO632" s="1596"/>
      <c r="AP632" s="1597"/>
      <c r="AQ632" s="1597"/>
      <c r="AR632" s="1597"/>
      <c r="AS632" s="1598"/>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47" t="e">
        <f t="shared" si="23"/>
        <v>#VALUE!</v>
      </c>
      <c r="DY632" s="1847"/>
      <c r="DZ632" s="1847"/>
      <c r="EA632" s="1847"/>
      <c r="EB632" s="1847"/>
      <c r="EC632" s="1847" t="e">
        <f t="shared" si="24"/>
        <v>#VALUE!</v>
      </c>
      <c r="ED632" s="1847"/>
      <c r="EE632" s="1847"/>
      <c r="EF632" s="1847"/>
      <c r="EG632" s="1847"/>
      <c r="EH632" s="1847" t="e">
        <f t="shared" si="25"/>
        <v>#VALUE!</v>
      </c>
      <c r="EI632" s="1847"/>
      <c r="EJ632" s="1847"/>
      <c r="EK632" s="1847"/>
      <c r="EL632" s="1847"/>
      <c r="EM632" s="1847">
        <f t="shared" si="26"/>
        <v>1720</v>
      </c>
      <c r="EN632" s="1847"/>
      <c r="EO632" s="1847"/>
      <c r="EP632" s="1847"/>
      <c r="EQ632" s="1847"/>
      <c r="ER632" s="1847" t="e">
        <f t="shared" si="27"/>
        <v>#VALUE!</v>
      </c>
      <c r="ES632" s="1847"/>
      <c r="ET632" s="1847"/>
      <c r="EU632" s="1847"/>
      <c r="EV632" s="1847"/>
      <c r="EW632" s="1847" t="e">
        <f t="shared" si="28"/>
        <v>#VALUE!</v>
      </c>
      <c r="EX632" s="1847"/>
      <c r="EY632" s="1847"/>
      <c r="EZ632" s="1847"/>
      <c r="FA632" s="1847"/>
    </row>
    <row r="633" spans="1:157" ht="12.9" customHeight="1">
      <c r="B633" s="52" t="s">
        <v>364</v>
      </c>
      <c r="C633" s="1705"/>
      <c r="D633" s="1705"/>
      <c r="E633" s="1705"/>
      <c r="F633" s="1705"/>
      <c r="G633" s="1705"/>
      <c r="H633" s="1705"/>
      <c r="I633" s="1705"/>
      <c r="J633" s="1705"/>
      <c r="K633" s="1705"/>
      <c r="L633" s="1705"/>
      <c r="M633" s="1848" t="s">
        <v>1326</v>
      </c>
      <c r="N633" s="1848"/>
      <c r="O633" s="1848"/>
      <c r="P633" s="1848"/>
      <c r="Q633" s="1746"/>
      <c r="R633" s="1545"/>
      <c r="S633" s="1747"/>
      <c r="T633" s="1746"/>
      <c r="U633" s="1545"/>
      <c r="V633" s="1747"/>
      <c r="W633" s="1590"/>
      <c r="X633" s="1591"/>
      <c r="Y633" s="1592"/>
      <c r="Z633" s="1706" t="s">
        <v>1326</v>
      </c>
      <c r="AA633" s="1707"/>
      <c r="AB633" s="1708"/>
      <c r="AC633" s="1429"/>
      <c r="AD633" s="1430"/>
      <c r="AE633" s="1431"/>
      <c r="AF633" s="1575"/>
      <c r="AG633" s="1576"/>
      <c r="AH633" s="1576"/>
      <c r="AI633" s="1576"/>
      <c r="AJ633" s="1577"/>
      <c r="AK633" s="1593"/>
      <c r="AL633" s="1594"/>
      <c r="AM633" s="1594"/>
      <c r="AN633" s="1595"/>
      <c r="AO633" s="1596"/>
      <c r="AP633" s="1597"/>
      <c r="AQ633" s="1597"/>
      <c r="AR633" s="1597"/>
      <c r="AS633" s="1598"/>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2131</v>
      </c>
      <c r="CT633" s="3"/>
      <c r="CU633" s="3"/>
      <c r="CV633" s="3"/>
      <c r="CW633" s="3"/>
      <c r="CX633" s="3"/>
      <c r="CY633" s="3"/>
      <c r="CZ633" s="3"/>
      <c r="DA633" s="3"/>
      <c r="DB633" s="3"/>
      <c r="DC633" s="3"/>
      <c r="DD633" s="3"/>
      <c r="DE633" s="3"/>
      <c r="DF633" s="3"/>
      <c r="DX633" s="1847" t="e">
        <f t="shared" si="23"/>
        <v>#VALUE!</v>
      </c>
      <c r="DY633" s="1847"/>
      <c r="DZ633" s="1847"/>
      <c r="EA633" s="1847"/>
      <c r="EB633" s="1847"/>
      <c r="EC633" s="1847" t="e">
        <f t="shared" si="24"/>
        <v>#VALUE!</v>
      </c>
      <c r="ED633" s="1847"/>
      <c r="EE633" s="1847"/>
      <c r="EF633" s="1847"/>
      <c r="EG633" s="1847"/>
      <c r="EH633" s="1847" t="e">
        <f t="shared" si="25"/>
        <v>#VALUE!</v>
      </c>
      <c r="EI633" s="1847"/>
      <c r="EJ633" s="1847"/>
      <c r="EK633" s="1847"/>
      <c r="EL633" s="1847"/>
      <c r="EM633" s="1847" t="e">
        <f t="shared" si="26"/>
        <v>#VALUE!</v>
      </c>
      <c r="EN633" s="1847"/>
      <c r="EO633" s="1847"/>
      <c r="EP633" s="1847"/>
      <c r="EQ633" s="1847"/>
      <c r="ER633" s="1847" t="e">
        <f t="shared" si="27"/>
        <v>#VALUE!</v>
      </c>
      <c r="ES633" s="1847"/>
      <c r="ET633" s="1847"/>
      <c r="EU633" s="1847"/>
      <c r="EV633" s="1847"/>
      <c r="EW633" s="1847" t="e">
        <f t="shared" si="28"/>
        <v>#VALUE!</v>
      </c>
      <c r="EX633" s="1847"/>
      <c r="EY633" s="1847"/>
      <c r="EZ633" s="1847"/>
      <c r="FA633" s="1847"/>
    </row>
    <row r="634" spans="1:157" ht="12.9" customHeight="1">
      <c r="B634" s="52" t="s">
        <v>365</v>
      </c>
      <c r="C634" s="1705"/>
      <c r="D634" s="1705"/>
      <c r="E634" s="1705"/>
      <c r="F634" s="1705"/>
      <c r="G634" s="1705"/>
      <c r="H634" s="1705"/>
      <c r="I634" s="1705"/>
      <c r="J634" s="1705"/>
      <c r="K634" s="1705"/>
      <c r="L634" s="1705"/>
      <c r="M634" s="1848" t="s">
        <v>1326</v>
      </c>
      <c r="N634" s="1848"/>
      <c r="O634" s="1848"/>
      <c r="P634" s="1848"/>
      <c r="Q634" s="1746"/>
      <c r="R634" s="1545"/>
      <c r="S634" s="1747"/>
      <c r="T634" s="1746"/>
      <c r="U634" s="1545"/>
      <c r="V634" s="1747"/>
      <c r="W634" s="1590"/>
      <c r="X634" s="1591"/>
      <c r="Y634" s="1592"/>
      <c r="Z634" s="1706" t="s">
        <v>1326</v>
      </c>
      <c r="AA634" s="1707"/>
      <c r="AB634" s="1708"/>
      <c r="AC634" s="1429"/>
      <c r="AD634" s="1430"/>
      <c r="AE634" s="1431"/>
      <c r="AF634" s="1575"/>
      <c r="AG634" s="1576"/>
      <c r="AH634" s="1576"/>
      <c r="AI634" s="1576"/>
      <c r="AJ634" s="1577"/>
      <c r="AK634" s="1593"/>
      <c r="AL634" s="1594"/>
      <c r="AM634" s="1594"/>
      <c r="AN634" s="1595"/>
      <c r="AO634" s="1596"/>
      <c r="AP634" s="1597"/>
      <c r="AQ634" s="1597"/>
      <c r="AR634" s="1597"/>
      <c r="AS634" s="1598"/>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05">
        <f t="shared" ref="BN634:BN643" si="30">IF(J772="SRO/Studio",O772,0)</f>
        <v>0</v>
      </c>
      <c r="BO634" s="1506"/>
      <c r="BP634" s="1506"/>
      <c r="BQ634" s="1506"/>
      <c r="BR634" s="1507"/>
      <c r="BS634" s="1396">
        <f t="shared" ref="BS634:BS643" si="31">IF(J772="1 Bedroom",O772,0)</f>
        <v>0</v>
      </c>
      <c r="BT634" s="1396"/>
      <c r="BU634" s="1396"/>
      <c r="BV634" s="1396"/>
      <c r="BW634" s="1396"/>
      <c r="BX634" s="1396">
        <f t="shared" ref="BX634:BX643" si="32">IF(J772="2 Bedrooms",O772,0)</f>
        <v>0</v>
      </c>
      <c r="BY634" s="1396"/>
      <c r="BZ634" s="1396"/>
      <c r="CA634" s="1396"/>
      <c r="CB634" s="1396"/>
      <c r="CC634" s="1396">
        <f t="shared" ref="CC634:CC643" si="33">IF(J772="3 Bedrooms",O772,0)</f>
        <v>0</v>
      </c>
      <c r="CD634" s="1396"/>
      <c r="CE634" s="1396"/>
      <c r="CF634" s="1396"/>
      <c r="CG634" s="1396"/>
      <c r="CH634" s="1396">
        <f t="shared" ref="CH634:CH643" si="34">IF(J772="4 Bedrooms",O772,0)</f>
        <v>0</v>
      </c>
      <c r="CI634" s="1396"/>
      <c r="CJ634" s="1396"/>
      <c r="CK634" s="1396"/>
      <c r="CL634" s="1396"/>
      <c r="CM634" s="1396">
        <f t="shared" ref="CM634:CM643" si="35">IF(J772="5 Bedrooms",O772,0)</f>
        <v>0</v>
      </c>
      <c r="CN634" s="1396"/>
      <c r="CO634" s="1396"/>
      <c r="CP634" s="1396"/>
      <c r="CQ634" s="1396"/>
      <c r="CR634" s="6"/>
      <c r="CS634" s="1505">
        <f>IF(AND(BN634&gt;=1,AH772&gt;=0.1,AH772&lt;=1),O772,0)</f>
        <v>0</v>
      </c>
      <c r="CT634" s="1506"/>
      <c r="CU634" s="1506"/>
      <c r="CV634" s="1506"/>
      <c r="CW634" s="1507"/>
      <c r="CX634" s="1505">
        <f>IF(AND(BS634&gt;=1,AH772&gt;=0.1,AH772&lt;=1),O772,0)</f>
        <v>0</v>
      </c>
      <c r="CY634" s="1506"/>
      <c r="CZ634" s="1506"/>
      <c r="DA634" s="1506"/>
      <c r="DB634" s="1507"/>
      <c r="DC634" s="1505">
        <f>IF(AND(BX634&gt;=1,AH772&gt;=0.1,AH772&lt;=1),O772,0)</f>
        <v>0</v>
      </c>
      <c r="DD634" s="1506"/>
      <c r="DE634" s="1506"/>
      <c r="DF634" s="1506"/>
      <c r="DG634" s="1507"/>
      <c r="DH634" s="1505">
        <f>IF(AND(CC634&gt;=1,AH772&gt;=0.1,AH772&lt;=1),O772,0)</f>
        <v>0</v>
      </c>
      <c r="DI634" s="1506"/>
      <c r="DJ634" s="1506"/>
      <c r="DK634" s="1506"/>
      <c r="DL634" s="1507"/>
      <c r="DM634" s="1505">
        <f>IF(AND(CH634&gt;=1,AH772&gt;=0.1,AH772&lt;=1),O772,0)</f>
        <v>0</v>
      </c>
      <c r="DN634" s="1506"/>
      <c r="DO634" s="1506"/>
      <c r="DP634" s="1506"/>
      <c r="DQ634" s="1507"/>
      <c r="DR634" s="1505">
        <f>IF(AND(CM634&gt;=1,AH772&gt;=0.1,AH772&lt;=1),O772,0)</f>
        <v>0</v>
      </c>
      <c r="DS634" s="1506"/>
      <c r="DT634" s="1506"/>
      <c r="DU634" s="1506"/>
      <c r="DV634" s="1507"/>
      <c r="DX634" s="1847" t="e">
        <f t="shared" si="23"/>
        <v>#VALUE!</v>
      </c>
      <c r="DY634" s="1847"/>
      <c r="DZ634" s="1847"/>
      <c r="EA634" s="1847"/>
      <c r="EB634" s="1847"/>
      <c r="EC634" s="1847" t="e">
        <f t="shared" si="24"/>
        <v>#VALUE!</v>
      </c>
      <c r="ED634" s="1847"/>
      <c r="EE634" s="1847"/>
      <c r="EF634" s="1847"/>
      <c r="EG634" s="1847"/>
      <c r="EH634" s="1847" t="e">
        <f t="shared" si="25"/>
        <v>#VALUE!</v>
      </c>
      <c r="EI634" s="1847"/>
      <c r="EJ634" s="1847"/>
      <c r="EK634" s="1847"/>
      <c r="EL634" s="1847"/>
      <c r="EM634" s="1847" t="e">
        <f t="shared" si="26"/>
        <v>#VALUE!</v>
      </c>
      <c r="EN634" s="1847"/>
      <c r="EO634" s="1847"/>
      <c r="EP634" s="1847"/>
      <c r="EQ634" s="1847"/>
      <c r="ER634" s="1847" t="e">
        <f t="shared" si="27"/>
        <v>#VALUE!</v>
      </c>
      <c r="ES634" s="1847"/>
      <c r="ET634" s="1847"/>
      <c r="EU634" s="1847"/>
      <c r="EV634" s="1847"/>
      <c r="EW634" s="1847" t="e">
        <f t="shared" si="28"/>
        <v>#VALUE!</v>
      </c>
      <c r="EX634" s="1847"/>
      <c r="EY634" s="1847"/>
      <c r="EZ634" s="1847"/>
      <c r="FA634" s="1847"/>
    </row>
    <row r="635" spans="1:157" ht="12.9" customHeight="1">
      <c r="B635" s="1517" t="s">
        <v>129</v>
      </c>
      <c r="C635" s="1518"/>
      <c r="D635" s="1518"/>
      <c r="E635" s="1518"/>
      <c r="F635" s="1518"/>
      <c r="G635" s="1518"/>
      <c r="H635" s="1518"/>
      <c r="I635" s="1518"/>
      <c r="J635" s="1518"/>
      <c r="K635" s="1518"/>
      <c r="L635" s="1518"/>
      <c r="M635" s="1518"/>
      <c r="N635" s="1518"/>
      <c r="O635" s="1518"/>
      <c r="P635" s="1518"/>
      <c r="Q635" s="1518"/>
      <c r="R635" s="1518"/>
      <c r="S635" s="1518"/>
      <c r="T635" s="1518"/>
      <c r="U635" s="1518"/>
      <c r="V635" s="1518"/>
      <c r="W635" s="1518"/>
      <c r="X635" s="1518"/>
      <c r="Y635" s="1518"/>
      <c r="Z635" s="1518"/>
      <c r="AA635" s="1518"/>
      <c r="AB635" s="1518"/>
      <c r="AC635" s="1518"/>
      <c r="AD635" s="1518"/>
      <c r="AE635" s="1518"/>
      <c r="AF635" s="1518"/>
      <c r="AG635" s="1518"/>
      <c r="AH635" s="1518"/>
      <c r="AI635" s="1518"/>
      <c r="AJ635" s="1518"/>
      <c r="AK635" s="1518"/>
      <c r="AL635" s="1518"/>
      <c r="AM635" s="1518"/>
      <c r="AN635" s="1520"/>
      <c r="AO635" s="1514">
        <f>SUM(AO623:AR634)</f>
        <v>52546945</v>
      </c>
      <c r="AP635" s="1515"/>
      <c r="AQ635" s="1515"/>
      <c r="AR635" s="1515"/>
      <c r="AS635" s="1516"/>
      <c r="AZ635" s="3"/>
      <c r="BA635" s="3"/>
      <c r="BB635" s="3"/>
      <c r="BC635" s="3"/>
      <c r="BD635" s="3"/>
      <c r="BE635" s="3"/>
      <c r="BF635" s="3"/>
      <c r="BG635" s="3"/>
      <c r="BH635" s="3"/>
      <c r="BI635" s="3"/>
      <c r="BJ635" s="3"/>
      <c r="BK635" s="3"/>
      <c r="BL635" s="3"/>
      <c r="BM635" s="3"/>
      <c r="BN635" s="1505">
        <f t="shared" si="30"/>
        <v>0</v>
      </c>
      <c r="BO635" s="1506"/>
      <c r="BP635" s="1506"/>
      <c r="BQ635" s="1506"/>
      <c r="BR635" s="1507"/>
      <c r="BS635" s="1396">
        <f t="shared" si="31"/>
        <v>0</v>
      </c>
      <c r="BT635" s="1396"/>
      <c r="BU635" s="1396"/>
      <c r="BV635" s="1396"/>
      <c r="BW635" s="1396"/>
      <c r="BX635" s="1396">
        <f t="shared" si="32"/>
        <v>0</v>
      </c>
      <c r="BY635" s="1396"/>
      <c r="BZ635" s="1396"/>
      <c r="CA635" s="1396"/>
      <c r="CB635" s="1396"/>
      <c r="CC635" s="1396">
        <f t="shared" si="33"/>
        <v>0</v>
      </c>
      <c r="CD635" s="1396"/>
      <c r="CE635" s="1396"/>
      <c r="CF635" s="1396"/>
      <c r="CG635" s="1396"/>
      <c r="CH635" s="1396">
        <f t="shared" si="34"/>
        <v>0</v>
      </c>
      <c r="CI635" s="1396"/>
      <c r="CJ635" s="1396"/>
      <c r="CK635" s="1396"/>
      <c r="CL635" s="1396"/>
      <c r="CM635" s="1396">
        <f t="shared" si="35"/>
        <v>0</v>
      </c>
      <c r="CN635" s="1396"/>
      <c r="CO635" s="1396"/>
      <c r="CP635" s="1396"/>
      <c r="CQ635" s="1396"/>
      <c r="CR635" s="6"/>
      <c r="CS635" s="1505">
        <f t="shared" ref="CS635:CS643" si="36">IF(AND(BN635&gt;=1,AH773&gt;=0.1,AH773&lt;=1),O773,0)</f>
        <v>0</v>
      </c>
      <c r="CT635" s="1506"/>
      <c r="CU635" s="1506"/>
      <c r="CV635" s="1506"/>
      <c r="CW635" s="1507"/>
      <c r="CX635" s="1505">
        <f t="shared" ref="CX635:CX643" si="37">IF(AND(BS635&gt;=1,AH773&gt;=0.1,AH773&lt;=1),O773,0)</f>
        <v>0</v>
      </c>
      <c r="CY635" s="1506"/>
      <c r="CZ635" s="1506"/>
      <c r="DA635" s="1506"/>
      <c r="DB635" s="1507"/>
      <c r="DC635" s="1505">
        <f t="shared" ref="DC635:DC643" si="38">IF(AND(BX635&gt;=1,AH773&gt;=0.1,AH773&lt;=1),O773,0)</f>
        <v>0</v>
      </c>
      <c r="DD635" s="1506"/>
      <c r="DE635" s="1506"/>
      <c r="DF635" s="1506"/>
      <c r="DG635" s="1507"/>
      <c r="DH635" s="1505">
        <f t="shared" ref="DH635:DH643" si="39">IF(AND(CC635&gt;=1,AH773&gt;=0.1,AH773&lt;=1),O773,0)</f>
        <v>0</v>
      </c>
      <c r="DI635" s="1506"/>
      <c r="DJ635" s="1506"/>
      <c r="DK635" s="1506"/>
      <c r="DL635" s="1507"/>
      <c r="DM635" s="1505">
        <f t="shared" ref="DM635:DM643" si="40">IF(AND(CH635&gt;=1,AH773&gt;=0.1,AH773&lt;=1),O773,0)</f>
        <v>0</v>
      </c>
      <c r="DN635" s="1506"/>
      <c r="DO635" s="1506"/>
      <c r="DP635" s="1506"/>
      <c r="DQ635" s="1507"/>
      <c r="DR635" s="1505">
        <f t="shared" ref="DR635:DR643" si="41">IF(AND(CM635&gt;=1,AH773&gt;=0.1,AH773&lt;=1),O773,0)</f>
        <v>0</v>
      </c>
      <c r="DS635" s="1506"/>
      <c r="DT635" s="1506"/>
      <c r="DU635" s="1506"/>
      <c r="DV635" s="1507"/>
      <c r="DX635" s="1847" t="e">
        <f t="shared" si="23"/>
        <v>#VALUE!</v>
      </c>
      <c r="DY635" s="1847"/>
      <c r="DZ635" s="1847"/>
      <c r="EA635" s="1847"/>
      <c r="EB635" s="1847"/>
      <c r="EC635" s="1847" t="e">
        <f t="shared" si="24"/>
        <v>#VALUE!</v>
      </c>
      <c r="ED635" s="1847"/>
      <c r="EE635" s="1847"/>
      <c r="EF635" s="1847"/>
      <c r="EG635" s="1847"/>
      <c r="EH635" s="1847" t="e">
        <f t="shared" si="25"/>
        <v>#VALUE!</v>
      </c>
      <c r="EI635" s="1847"/>
      <c r="EJ635" s="1847"/>
      <c r="EK635" s="1847"/>
      <c r="EL635" s="1847"/>
      <c r="EM635" s="1847" t="e">
        <f t="shared" si="26"/>
        <v>#VALUE!</v>
      </c>
      <c r="EN635" s="1847"/>
      <c r="EO635" s="1847"/>
      <c r="EP635" s="1847"/>
      <c r="EQ635" s="1847"/>
      <c r="ER635" s="1847" t="e">
        <f t="shared" si="27"/>
        <v>#VALUE!</v>
      </c>
      <c r="ES635" s="1847"/>
      <c r="ET635" s="1847"/>
      <c r="EU635" s="1847"/>
      <c r="EV635" s="1847"/>
      <c r="EW635" s="1847" t="e">
        <f t="shared" si="28"/>
        <v>#VALUE!</v>
      </c>
      <c r="EX635" s="1847"/>
      <c r="EY635" s="1847"/>
      <c r="EZ635" s="1847"/>
      <c r="FA635" s="1847"/>
    </row>
    <row r="636" spans="1:157" ht="12.9" customHeight="1">
      <c r="B636" s="1517" t="s">
        <v>269</v>
      </c>
      <c r="C636" s="1518"/>
      <c r="D636" s="1518"/>
      <c r="E636" s="1518"/>
      <c r="F636" s="1518"/>
      <c r="G636" s="1518"/>
      <c r="H636" s="1518"/>
      <c r="I636" s="1518"/>
      <c r="J636" s="1518"/>
      <c r="K636" s="1518"/>
      <c r="L636" s="1518"/>
      <c r="M636" s="1518"/>
      <c r="N636" s="1518"/>
      <c r="O636" s="1518"/>
      <c r="P636" s="1518"/>
      <c r="Q636" s="1518"/>
      <c r="R636" s="1518"/>
      <c r="S636" s="1518"/>
      <c r="T636" s="1518"/>
      <c r="U636" s="1518"/>
      <c r="V636" s="1518"/>
      <c r="W636" s="1518"/>
      <c r="X636" s="1518"/>
      <c r="Y636" s="1518"/>
      <c r="Z636" s="1518"/>
      <c r="AA636" s="1518"/>
      <c r="AB636" s="1518"/>
      <c r="AC636" s="1518"/>
      <c r="AD636" s="1518"/>
      <c r="AE636" s="1518"/>
      <c r="AF636" s="1518"/>
      <c r="AG636" s="1518"/>
      <c r="AH636" s="1518"/>
      <c r="AI636" s="1518"/>
      <c r="AJ636" s="1518"/>
      <c r="AK636" s="1518"/>
      <c r="AL636" s="1518"/>
      <c r="AM636" s="1518"/>
      <c r="AN636" s="1520"/>
      <c r="AO636" s="1596">
        <v>36842297</v>
      </c>
      <c r="AP636" s="1597"/>
      <c r="AQ636" s="1597"/>
      <c r="AR636" s="1597"/>
      <c r="AS636" s="1598"/>
      <c r="AZ636" s="34"/>
      <c r="BA636" s="34"/>
      <c r="BB636" s="34"/>
      <c r="BC636" s="34"/>
      <c r="BD636" s="34"/>
      <c r="BE636" s="34"/>
      <c r="BF636" s="34"/>
      <c r="BG636" s="34"/>
      <c r="BH636" s="34"/>
      <c r="BI636" s="34"/>
      <c r="BJ636" s="34"/>
      <c r="BK636" s="34"/>
      <c r="BL636" s="34"/>
      <c r="BM636" s="34"/>
      <c r="BN636" s="1505">
        <f t="shared" si="30"/>
        <v>0</v>
      </c>
      <c r="BO636" s="1506"/>
      <c r="BP636" s="1506"/>
      <c r="BQ636" s="1506"/>
      <c r="BR636" s="1507"/>
      <c r="BS636" s="1396">
        <f t="shared" si="31"/>
        <v>0</v>
      </c>
      <c r="BT636" s="1396"/>
      <c r="BU636" s="1396"/>
      <c r="BV636" s="1396"/>
      <c r="BW636" s="1396"/>
      <c r="BX636" s="1396">
        <f t="shared" si="32"/>
        <v>0</v>
      </c>
      <c r="BY636" s="1396"/>
      <c r="BZ636" s="1396"/>
      <c r="CA636" s="1396"/>
      <c r="CB636" s="1396"/>
      <c r="CC636" s="1396">
        <f t="shared" si="33"/>
        <v>0</v>
      </c>
      <c r="CD636" s="1396"/>
      <c r="CE636" s="1396"/>
      <c r="CF636" s="1396"/>
      <c r="CG636" s="1396"/>
      <c r="CH636" s="1396">
        <f t="shared" si="34"/>
        <v>0</v>
      </c>
      <c r="CI636" s="1396"/>
      <c r="CJ636" s="1396"/>
      <c r="CK636" s="1396"/>
      <c r="CL636" s="1396"/>
      <c r="CM636" s="1396">
        <f t="shared" si="35"/>
        <v>0</v>
      </c>
      <c r="CN636" s="1396"/>
      <c r="CO636" s="1396"/>
      <c r="CP636" s="1396"/>
      <c r="CQ636" s="1396"/>
      <c r="CR636" s="6"/>
      <c r="CS636" s="1505">
        <f t="shared" si="36"/>
        <v>0</v>
      </c>
      <c r="CT636" s="1506"/>
      <c r="CU636" s="1506"/>
      <c r="CV636" s="1506"/>
      <c r="CW636" s="1507"/>
      <c r="CX636" s="1505">
        <f t="shared" si="37"/>
        <v>0</v>
      </c>
      <c r="CY636" s="1506"/>
      <c r="CZ636" s="1506"/>
      <c r="DA636" s="1506"/>
      <c r="DB636" s="1507"/>
      <c r="DC636" s="1505">
        <f t="shared" si="38"/>
        <v>0</v>
      </c>
      <c r="DD636" s="1506"/>
      <c r="DE636" s="1506"/>
      <c r="DF636" s="1506"/>
      <c r="DG636" s="1507"/>
      <c r="DH636" s="1505">
        <f t="shared" si="39"/>
        <v>0</v>
      </c>
      <c r="DI636" s="1506"/>
      <c r="DJ636" s="1506"/>
      <c r="DK636" s="1506"/>
      <c r="DL636" s="1507"/>
      <c r="DM636" s="1505">
        <f t="shared" si="40"/>
        <v>0</v>
      </c>
      <c r="DN636" s="1506"/>
      <c r="DO636" s="1506"/>
      <c r="DP636" s="1506"/>
      <c r="DQ636" s="1507"/>
      <c r="DR636" s="1505">
        <f t="shared" si="41"/>
        <v>0</v>
      </c>
      <c r="DS636" s="1506"/>
      <c r="DT636" s="1506"/>
      <c r="DU636" s="1506"/>
      <c r="DV636" s="1507"/>
      <c r="DX636" s="1847" t="e">
        <f t="shared" si="23"/>
        <v>#VALUE!</v>
      </c>
      <c r="DY636" s="1847"/>
      <c r="DZ636" s="1847"/>
      <c r="EA636" s="1847"/>
      <c r="EB636" s="1847"/>
      <c r="EC636" s="1847" t="e">
        <f t="shared" si="24"/>
        <v>#VALUE!</v>
      </c>
      <c r="ED636" s="1847"/>
      <c r="EE636" s="1847"/>
      <c r="EF636" s="1847"/>
      <c r="EG636" s="1847"/>
      <c r="EH636" s="1847" t="e">
        <f t="shared" si="25"/>
        <v>#VALUE!</v>
      </c>
      <c r="EI636" s="1847"/>
      <c r="EJ636" s="1847"/>
      <c r="EK636" s="1847"/>
      <c r="EL636" s="1847"/>
      <c r="EM636" s="1847" t="e">
        <f t="shared" si="26"/>
        <v>#VALUE!</v>
      </c>
      <c r="EN636" s="1847"/>
      <c r="EO636" s="1847"/>
      <c r="EP636" s="1847"/>
      <c r="EQ636" s="1847"/>
      <c r="ER636" s="1847" t="e">
        <f t="shared" si="27"/>
        <v>#VALUE!</v>
      </c>
      <c r="ES636" s="1847"/>
      <c r="ET636" s="1847"/>
      <c r="EU636" s="1847"/>
      <c r="EV636" s="1847"/>
      <c r="EW636" s="1847" t="e">
        <f t="shared" si="28"/>
        <v>#VALUE!</v>
      </c>
      <c r="EX636" s="1847"/>
      <c r="EY636" s="1847"/>
      <c r="EZ636" s="1847"/>
      <c r="FA636" s="1847"/>
    </row>
    <row r="637" spans="1:157" ht="12.9" customHeight="1">
      <c r="B637" s="1573" t="s">
        <v>270</v>
      </c>
      <c r="C637" s="1519"/>
      <c r="D637" s="1519"/>
      <c r="E637" s="1519"/>
      <c r="F637" s="1519"/>
      <c r="G637" s="1519"/>
      <c r="H637" s="1519"/>
      <c r="I637" s="1519"/>
      <c r="J637" s="1519"/>
      <c r="K637" s="1519"/>
      <c r="L637" s="1519"/>
      <c r="M637" s="1519"/>
      <c r="N637" s="1519"/>
      <c r="O637" s="1519"/>
      <c r="P637" s="1519"/>
      <c r="Q637" s="1519"/>
      <c r="R637" s="1519"/>
      <c r="S637" s="1519"/>
      <c r="T637" s="1519"/>
      <c r="U637" s="1519"/>
      <c r="V637" s="1519"/>
      <c r="W637" s="1519"/>
      <c r="X637" s="1519"/>
      <c r="Y637" s="1519"/>
      <c r="Z637" s="1519"/>
      <c r="AA637" s="1519"/>
      <c r="AB637" s="1519"/>
      <c r="AC637" s="1519"/>
      <c r="AD637" s="1519"/>
      <c r="AE637" s="1519"/>
      <c r="AF637" s="1519"/>
      <c r="AG637" s="1519"/>
      <c r="AH637" s="1519"/>
      <c r="AI637" s="1519"/>
      <c r="AJ637" s="1519"/>
      <c r="AK637" s="1519"/>
      <c r="AL637" s="1519"/>
      <c r="AM637" s="1519"/>
      <c r="AN637" s="1574"/>
      <c r="AO637" s="1514">
        <f>AO635+AO636</f>
        <v>89389242</v>
      </c>
      <c r="AP637" s="1515"/>
      <c r="AQ637" s="1515"/>
      <c r="AR637" s="1515"/>
      <c r="AS637" s="1516"/>
      <c r="AZ637" s="34"/>
      <c r="BA637" s="34"/>
      <c r="BB637" s="34"/>
      <c r="BC637" s="34"/>
      <c r="BD637" s="34"/>
      <c r="BE637" s="34"/>
      <c r="BF637" s="34"/>
      <c r="BG637" s="34"/>
      <c r="BH637" s="34"/>
      <c r="BI637" s="34"/>
      <c r="BJ637" s="34"/>
      <c r="BK637" s="34"/>
      <c r="BL637" s="34"/>
      <c r="BM637" s="34"/>
      <c r="BN637" s="1505">
        <f t="shared" si="30"/>
        <v>0</v>
      </c>
      <c r="BO637" s="1506"/>
      <c r="BP637" s="1506"/>
      <c r="BQ637" s="1506"/>
      <c r="BR637" s="1507"/>
      <c r="BS637" s="1396">
        <f t="shared" si="31"/>
        <v>0</v>
      </c>
      <c r="BT637" s="1396"/>
      <c r="BU637" s="1396"/>
      <c r="BV637" s="1396"/>
      <c r="BW637" s="1396"/>
      <c r="BX637" s="1396">
        <f t="shared" si="32"/>
        <v>0</v>
      </c>
      <c r="BY637" s="1396"/>
      <c r="BZ637" s="1396"/>
      <c r="CA637" s="1396"/>
      <c r="CB637" s="1396"/>
      <c r="CC637" s="1396">
        <f t="shared" si="33"/>
        <v>0</v>
      </c>
      <c r="CD637" s="1396"/>
      <c r="CE637" s="1396"/>
      <c r="CF637" s="1396"/>
      <c r="CG637" s="1396"/>
      <c r="CH637" s="1396">
        <f t="shared" si="34"/>
        <v>0</v>
      </c>
      <c r="CI637" s="1396"/>
      <c r="CJ637" s="1396"/>
      <c r="CK637" s="1396"/>
      <c r="CL637" s="1396"/>
      <c r="CM637" s="1396">
        <f t="shared" si="35"/>
        <v>0</v>
      </c>
      <c r="CN637" s="1396"/>
      <c r="CO637" s="1396"/>
      <c r="CP637" s="1396"/>
      <c r="CQ637" s="1396"/>
      <c r="CR637" s="6"/>
      <c r="CS637" s="1505">
        <f t="shared" si="36"/>
        <v>0</v>
      </c>
      <c r="CT637" s="1506"/>
      <c r="CU637" s="1506"/>
      <c r="CV637" s="1506"/>
      <c r="CW637" s="1507"/>
      <c r="CX637" s="1505">
        <f t="shared" si="37"/>
        <v>0</v>
      </c>
      <c r="CY637" s="1506"/>
      <c r="CZ637" s="1506"/>
      <c r="DA637" s="1506"/>
      <c r="DB637" s="1507"/>
      <c r="DC637" s="1505">
        <f t="shared" si="38"/>
        <v>0</v>
      </c>
      <c r="DD637" s="1506"/>
      <c r="DE637" s="1506"/>
      <c r="DF637" s="1506"/>
      <c r="DG637" s="1507"/>
      <c r="DH637" s="1505">
        <f t="shared" si="39"/>
        <v>0</v>
      </c>
      <c r="DI637" s="1506"/>
      <c r="DJ637" s="1506"/>
      <c r="DK637" s="1506"/>
      <c r="DL637" s="1507"/>
      <c r="DM637" s="1505">
        <f t="shared" si="40"/>
        <v>0</v>
      </c>
      <c r="DN637" s="1506"/>
      <c r="DO637" s="1506"/>
      <c r="DP637" s="1506"/>
      <c r="DQ637" s="1507"/>
      <c r="DR637" s="1505">
        <f t="shared" si="41"/>
        <v>0</v>
      </c>
      <c r="DS637" s="1506"/>
      <c r="DT637" s="1506"/>
      <c r="DU637" s="1506"/>
      <c r="DV637" s="1507"/>
      <c r="DX637" s="1847" t="e">
        <f t="shared" si="23"/>
        <v>#VALUE!</v>
      </c>
      <c r="DY637" s="1847"/>
      <c r="DZ637" s="1847"/>
      <c r="EA637" s="1847"/>
      <c r="EB637" s="1847"/>
      <c r="EC637" s="1847" t="e">
        <f t="shared" si="24"/>
        <v>#VALUE!</v>
      </c>
      <c r="ED637" s="1847"/>
      <c r="EE637" s="1847"/>
      <c r="EF637" s="1847"/>
      <c r="EG637" s="1847"/>
      <c r="EH637" s="1847" t="e">
        <f t="shared" si="25"/>
        <v>#VALUE!</v>
      </c>
      <c r="EI637" s="1847"/>
      <c r="EJ637" s="1847"/>
      <c r="EK637" s="1847"/>
      <c r="EL637" s="1847"/>
      <c r="EM637" s="1847" t="e">
        <f t="shared" si="26"/>
        <v>#VALUE!</v>
      </c>
      <c r="EN637" s="1847"/>
      <c r="EO637" s="1847"/>
      <c r="EP637" s="1847"/>
      <c r="EQ637" s="1847"/>
      <c r="ER637" s="1847" t="e">
        <f t="shared" si="27"/>
        <v>#VALUE!</v>
      </c>
      <c r="ES637" s="1847"/>
      <c r="ET637" s="1847"/>
      <c r="EU637" s="1847"/>
      <c r="EV637" s="1847"/>
      <c r="EW637" s="1847" t="e">
        <f t="shared" si="28"/>
        <v>#VALUE!</v>
      </c>
      <c r="EX637" s="1847"/>
      <c r="EY637" s="1847"/>
      <c r="EZ637" s="1847"/>
      <c r="FA637" s="1847"/>
    </row>
    <row r="638" spans="1:157" ht="12.9"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05">
        <f t="shared" si="30"/>
        <v>0</v>
      </c>
      <c r="BO638" s="1506"/>
      <c r="BP638" s="1506"/>
      <c r="BQ638" s="1506"/>
      <c r="BR638" s="1507"/>
      <c r="BS638" s="1396">
        <f t="shared" si="31"/>
        <v>0</v>
      </c>
      <c r="BT638" s="1396"/>
      <c r="BU638" s="1396"/>
      <c r="BV638" s="1396"/>
      <c r="BW638" s="1396"/>
      <c r="BX638" s="1396">
        <f t="shared" si="32"/>
        <v>0</v>
      </c>
      <c r="BY638" s="1396"/>
      <c r="BZ638" s="1396"/>
      <c r="CA638" s="1396"/>
      <c r="CB638" s="1396"/>
      <c r="CC638" s="1396">
        <f t="shared" si="33"/>
        <v>0</v>
      </c>
      <c r="CD638" s="1396"/>
      <c r="CE638" s="1396"/>
      <c r="CF638" s="1396"/>
      <c r="CG638" s="1396"/>
      <c r="CH638" s="1396">
        <f t="shared" si="34"/>
        <v>0</v>
      </c>
      <c r="CI638" s="1396"/>
      <c r="CJ638" s="1396"/>
      <c r="CK638" s="1396"/>
      <c r="CL638" s="1396"/>
      <c r="CM638" s="1396">
        <f t="shared" si="35"/>
        <v>0</v>
      </c>
      <c r="CN638" s="1396"/>
      <c r="CO638" s="1396"/>
      <c r="CP638" s="1396"/>
      <c r="CQ638" s="1396"/>
      <c r="CR638" s="6"/>
      <c r="CS638" s="1505">
        <f t="shared" si="36"/>
        <v>0</v>
      </c>
      <c r="CT638" s="1506"/>
      <c r="CU638" s="1506"/>
      <c r="CV638" s="1506"/>
      <c r="CW638" s="1507"/>
      <c r="CX638" s="1505">
        <f t="shared" si="37"/>
        <v>0</v>
      </c>
      <c r="CY638" s="1506"/>
      <c r="CZ638" s="1506"/>
      <c r="DA638" s="1506"/>
      <c r="DB638" s="1507"/>
      <c r="DC638" s="1505">
        <f t="shared" si="38"/>
        <v>0</v>
      </c>
      <c r="DD638" s="1506"/>
      <c r="DE638" s="1506"/>
      <c r="DF638" s="1506"/>
      <c r="DG638" s="1507"/>
      <c r="DH638" s="1505">
        <f t="shared" si="39"/>
        <v>0</v>
      </c>
      <c r="DI638" s="1506"/>
      <c r="DJ638" s="1506"/>
      <c r="DK638" s="1506"/>
      <c r="DL638" s="1507"/>
      <c r="DM638" s="1505">
        <f t="shared" si="40"/>
        <v>0</v>
      </c>
      <c r="DN638" s="1506"/>
      <c r="DO638" s="1506"/>
      <c r="DP638" s="1506"/>
      <c r="DQ638" s="1507"/>
      <c r="DR638" s="1505">
        <f t="shared" si="41"/>
        <v>0</v>
      </c>
      <c r="DS638" s="1506"/>
      <c r="DT638" s="1506"/>
      <c r="DU638" s="1506"/>
      <c r="DV638" s="1507"/>
      <c r="DX638" s="1847" t="e">
        <f t="shared" si="23"/>
        <v>#VALUE!</v>
      </c>
      <c r="DY638" s="1847"/>
      <c r="DZ638" s="1847"/>
      <c r="EA638" s="1847"/>
      <c r="EB638" s="1847"/>
      <c r="EC638" s="1847" t="e">
        <f t="shared" si="24"/>
        <v>#VALUE!</v>
      </c>
      <c r="ED638" s="1847"/>
      <c r="EE638" s="1847"/>
      <c r="EF638" s="1847"/>
      <c r="EG638" s="1847"/>
      <c r="EH638" s="1847" t="e">
        <f t="shared" si="25"/>
        <v>#VALUE!</v>
      </c>
      <c r="EI638" s="1847"/>
      <c r="EJ638" s="1847"/>
      <c r="EK638" s="1847"/>
      <c r="EL638" s="1847"/>
      <c r="EM638" s="1847" t="e">
        <f t="shared" si="26"/>
        <v>#VALUE!</v>
      </c>
      <c r="EN638" s="1847"/>
      <c r="EO638" s="1847"/>
      <c r="EP638" s="1847"/>
      <c r="EQ638" s="1847"/>
      <c r="ER638" s="1847" t="e">
        <f t="shared" si="27"/>
        <v>#VALUE!</v>
      </c>
      <c r="ES638" s="1847"/>
      <c r="ET638" s="1847"/>
      <c r="EU638" s="1847"/>
      <c r="EV638" s="1847"/>
      <c r="EW638" s="1847" t="e">
        <f t="shared" si="28"/>
        <v>#VALUE!</v>
      </c>
      <c r="EX638" s="1847"/>
      <c r="EY638" s="1847"/>
      <c r="EZ638" s="1847"/>
      <c r="FA638" s="1847"/>
    </row>
    <row r="639" spans="1:157" ht="12.9" customHeight="1">
      <c r="A639" s="55" t="s">
        <v>113</v>
      </c>
      <c r="B639" t="s">
        <v>473</v>
      </c>
      <c r="G639" s="1511" t="str">
        <f>C623</f>
        <v>Citibank, N.A</v>
      </c>
      <c r="H639" s="1511"/>
      <c r="I639" s="1511"/>
      <c r="J639" s="1511"/>
      <c r="K639" s="1511"/>
      <c r="L639" s="1511"/>
      <c r="M639" s="1511"/>
      <c r="N639" s="1511"/>
      <c r="O639" s="1511"/>
      <c r="P639" s="1511"/>
      <c r="Q639" s="1511"/>
      <c r="R639" s="1511"/>
      <c r="S639" s="8"/>
      <c r="T639" s="55" t="s">
        <v>114</v>
      </c>
      <c r="U639" t="s">
        <v>473</v>
      </c>
      <c r="Z639" s="1511" t="str">
        <f>C624</f>
        <v>Vintage Housing Holdings, LLC</v>
      </c>
      <c r="AA639" s="1511"/>
      <c r="AB639" s="1511"/>
      <c r="AC639" s="1511"/>
      <c r="AD639" s="1511"/>
      <c r="AE639" s="1511"/>
      <c r="AF639" s="1511"/>
      <c r="AG639" s="1511"/>
      <c r="AH639" s="1511"/>
      <c r="AI639" s="1511"/>
      <c r="AJ639" s="1511"/>
      <c r="AK639" s="1511"/>
      <c r="AZ639" s="34"/>
      <c r="BA639" s="34"/>
      <c r="BB639" s="34"/>
      <c r="BC639" s="34"/>
      <c r="BD639" s="34"/>
      <c r="BE639" s="34"/>
      <c r="BF639" s="34"/>
      <c r="BG639" s="34"/>
      <c r="BH639" s="34"/>
      <c r="BI639" s="34"/>
      <c r="BJ639" s="34"/>
      <c r="BK639" s="34"/>
      <c r="BL639" s="34"/>
      <c r="BM639" s="34"/>
      <c r="BN639" s="1505">
        <f t="shared" si="30"/>
        <v>0</v>
      </c>
      <c r="BO639" s="1506"/>
      <c r="BP639" s="1506"/>
      <c r="BQ639" s="1506"/>
      <c r="BR639" s="1507"/>
      <c r="BS639" s="1396">
        <f t="shared" si="31"/>
        <v>0</v>
      </c>
      <c r="BT639" s="1396"/>
      <c r="BU639" s="1396"/>
      <c r="BV639" s="1396"/>
      <c r="BW639" s="1396"/>
      <c r="BX639" s="1396">
        <f t="shared" si="32"/>
        <v>0</v>
      </c>
      <c r="BY639" s="1396"/>
      <c r="BZ639" s="1396"/>
      <c r="CA639" s="1396"/>
      <c r="CB639" s="1396"/>
      <c r="CC639" s="1396">
        <f t="shared" si="33"/>
        <v>0</v>
      </c>
      <c r="CD639" s="1396"/>
      <c r="CE639" s="1396"/>
      <c r="CF639" s="1396"/>
      <c r="CG639" s="1396"/>
      <c r="CH639" s="1396">
        <f t="shared" si="34"/>
        <v>0</v>
      </c>
      <c r="CI639" s="1396"/>
      <c r="CJ639" s="1396"/>
      <c r="CK639" s="1396"/>
      <c r="CL639" s="1396"/>
      <c r="CM639" s="1396">
        <f t="shared" si="35"/>
        <v>0</v>
      </c>
      <c r="CN639" s="1396"/>
      <c r="CO639" s="1396"/>
      <c r="CP639" s="1396"/>
      <c r="CQ639" s="1396"/>
      <c r="CR639" s="6"/>
      <c r="CS639" s="1505">
        <f t="shared" si="36"/>
        <v>0</v>
      </c>
      <c r="CT639" s="1506"/>
      <c r="CU639" s="1506"/>
      <c r="CV639" s="1506"/>
      <c r="CW639" s="1507"/>
      <c r="CX639" s="1505">
        <f t="shared" si="37"/>
        <v>0</v>
      </c>
      <c r="CY639" s="1506"/>
      <c r="CZ639" s="1506"/>
      <c r="DA639" s="1506"/>
      <c r="DB639" s="1507"/>
      <c r="DC639" s="1505">
        <f t="shared" si="38"/>
        <v>0</v>
      </c>
      <c r="DD639" s="1506"/>
      <c r="DE639" s="1506"/>
      <c r="DF639" s="1506"/>
      <c r="DG639" s="1507"/>
      <c r="DH639" s="1505">
        <f t="shared" si="39"/>
        <v>0</v>
      </c>
      <c r="DI639" s="1506"/>
      <c r="DJ639" s="1506"/>
      <c r="DK639" s="1506"/>
      <c r="DL639" s="1507"/>
      <c r="DM639" s="1505">
        <f t="shared" si="40"/>
        <v>0</v>
      </c>
      <c r="DN639" s="1506"/>
      <c r="DO639" s="1506"/>
      <c r="DP639" s="1506"/>
      <c r="DQ639" s="1507"/>
      <c r="DR639" s="1505">
        <f t="shared" si="41"/>
        <v>0</v>
      </c>
      <c r="DS639" s="1506"/>
      <c r="DT639" s="1506"/>
      <c r="DU639" s="1506"/>
      <c r="DV639" s="1507"/>
      <c r="DX639" s="1847" t="e">
        <f t="shared" si="23"/>
        <v>#VALUE!</v>
      </c>
      <c r="DY639" s="1847"/>
      <c r="DZ639" s="1847"/>
      <c r="EA639" s="1847"/>
      <c r="EB639" s="1847"/>
      <c r="EC639" s="1847" t="e">
        <f t="shared" si="24"/>
        <v>#VALUE!</v>
      </c>
      <c r="ED639" s="1847"/>
      <c r="EE639" s="1847"/>
      <c r="EF639" s="1847"/>
      <c r="EG639" s="1847"/>
      <c r="EH639" s="1847" t="e">
        <f t="shared" si="25"/>
        <v>#VALUE!</v>
      </c>
      <c r="EI639" s="1847"/>
      <c r="EJ639" s="1847"/>
      <c r="EK639" s="1847"/>
      <c r="EL639" s="1847"/>
      <c r="EM639" s="1847" t="e">
        <f t="shared" si="26"/>
        <v>#VALUE!</v>
      </c>
      <c r="EN639" s="1847"/>
      <c r="EO639" s="1847"/>
      <c r="EP639" s="1847"/>
      <c r="EQ639" s="1847"/>
      <c r="ER639" s="1847" t="e">
        <f t="shared" si="27"/>
        <v>#VALUE!</v>
      </c>
      <c r="ES639" s="1847"/>
      <c r="ET639" s="1847"/>
      <c r="EU639" s="1847"/>
      <c r="EV639" s="1847"/>
      <c r="EW639" s="1847" t="e">
        <f t="shared" si="28"/>
        <v>#VALUE!</v>
      </c>
      <c r="EX639" s="1847"/>
      <c r="EY639" s="1847"/>
      <c r="EZ639" s="1847"/>
      <c r="FA639" s="1847"/>
    </row>
    <row r="640" spans="1:157" ht="12.9" customHeight="1">
      <c r="A640" s="22"/>
      <c r="B640" t="s">
        <v>86</v>
      </c>
      <c r="G640" s="1395" t="s">
        <v>2684</v>
      </c>
      <c r="H640" s="1395"/>
      <c r="I640" s="1395"/>
      <c r="J640" s="1395"/>
      <c r="K640" s="1395"/>
      <c r="L640" s="1395"/>
      <c r="M640" s="1395"/>
      <c r="N640" s="1395"/>
      <c r="O640" s="1395"/>
      <c r="P640" s="1395"/>
      <c r="Q640" s="1395"/>
      <c r="R640" s="1395"/>
      <c r="S640" s="8"/>
      <c r="T640" s="22"/>
      <c r="U640" t="s">
        <v>86</v>
      </c>
      <c r="Z640" s="1395" t="s">
        <v>2642</v>
      </c>
      <c r="AA640" s="1395"/>
      <c r="AB640" s="1395"/>
      <c r="AC640" s="1395"/>
      <c r="AD640" s="1395"/>
      <c r="AE640" s="1395"/>
      <c r="AF640" s="1395"/>
      <c r="AG640" s="1395"/>
      <c r="AH640" s="1395"/>
      <c r="AI640" s="1395"/>
      <c r="AJ640" s="1395"/>
      <c r="AK640" s="1395"/>
      <c r="AZ640" s="34"/>
      <c r="BA640" s="34"/>
      <c r="BB640" s="34"/>
      <c r="BC640" s="34"/>
      <c r="BD640" s="34"/>
      <c r="BE640" s="34"/>
      <c r="BF640" s="34"/>
      <c r="BG640" s="34"/>
      <c r="BH640" s="34"/>
      <c r="BI640" s="34"/>
      <c r="BJ640" s="34"/>
      <c r="BK640" s="34"/>
      <c r="BL640" s="34"/>
      <c r="BM640" s="34"/>
      <c r="BN640" s="1505">
        <f t="shared" si="30"/>
        <v>0</v>
      </c>
      <c r="BO640" s="1506"/>
      <c r="BP640" s="1506"/>
      <c r="BQ640" s="1506"/>
      <c r="BR640" s="1507"/>
      <c r="BS640" s="1396">
        <f t="shared" si="31"/>
        <v>0</v>
      </c>
      <c r="BT640" s="1396"/>
      <c r="BU640" s="1396"/>
      <c r="BV640" s="1396"/>
      <c r="BW640" s="1396"/>
      <c r="BX640" s="1396">
        <f t="shared" si="32"/>
        <v>0</v>
      </c>
      <c r="BY640" s="1396"/>
      <c r="BZ640" s="1396"/>
      <c r="CA640" s="1396"/>
      <c r="CB640" s="1396"/>
      <c r="CC640" s="1396">
        <f t="shared" si="33"/>
        <v>0</v>
      </c>
      <c r="CD640" s="1396"/>
      <c r="CE640" s="1396"/>
      <c r="CF640" s="1396"/>
      <c r="CG640" s="1396"/>
      <c r="CH640" s="1396">
        <f t="shared" si="34"/>
        <v>0</v>
      </c>
      <c r="CI640" s="1396"/>
      <c r="CJ640" s="1396"/>
      <c r="CK640" s="1396"/>
      <c r="CL640" s="1396"/>
      <c r="CM640" s="1396">
        <f t="shared" si="35"/>
        <v>0</v>
      </c>
      <c r="CN640" s="1396"/>
      <c r="CO640" s="1396"/>
      <c r="CP640" s="1396"/>
      <c r="CQ640" s="1396"/>
      <c r="CR640" s="6"/>
      <c r="CS640" s="1505">
        <f t="shared" si="36"/>
        <v>0</v>
      </c>
      <c r="CT640" s="1506"/>
      <c r="CU640" s="1506"/>
      <c r="CV640" s="1506"/>
      <c r="CW640" s="1507"/>
      <c r="CX640" s="1505">
        <f t="shared" si="37"/>
        <v>0</v>
      </c>
      <c r="CY640" s="1506"/>
      <c r="CZ640" s="1506"/>
      <c r="DA640" s="1506"/>
      <c r="DB640" s="1507"/>
      <c r="DC640" s="1505">
        <f t="shared" si="38"/>
        <v>0</v>
      </c>
      <c r="DD640" s="1506"/>
      <c r="DE640" s="1506"/>
      <c r="DF640" s="1506"/>
      <c r="DG640" s="1507"/>
      <c r="DH640" s="1505">
        <f t="shared" si="39"/>
        <v>0</v>
      </c>
      <c r="DI640" s="1506"/>
      <c r="DJ640" s="1506"/>
      <c r="DK640" s="1506"/>
      <c r="DL640" s="1507"/>
      <c r="DM640" s="1505">
        <f t="shared" si="40"/>
        <v>0</v>
      </c>
      <c r="DN640" s="1506"/>
      <c r="DO640" s="1506"/>
      <c r="DP640" s="1506"/>
      <c r="DQ640" s="1507"/>
      <c r="DR640" s="1505">
        <f t="shared" si="41"/>
        <v>0</v>
      </c>
      <c r="DS640" s="1506"/>
      <c r="DT640" s="1506"/>
      <c r="DU640" s="1506"/>
      <c r="DV640" s="1507"/>
      <c r="DX640" s="1847" t="e">
        <f t="shared" si="23"/>
        <v>#VALUE!</v>
      </c>
      <c r="DY640" s="1847"/>
      <c r="DZ640" s="1847"/>
      <c r="EA640" s="1847"/>
      <c r="EB640" s="1847"/>
      <c r="EC640" s="1847" t="e">
        <f t="shared" si="24"/>
        <v>#VALUE!</v>
      </c>
      <c r="ED640" s="1847"/>
      <c r="EE640" s="1847"/>
      <c r="EF640" s="1847"/>
      <c r="EG640" s="1847"/>
      <c r="EH640" s="1847" t="e">
        <f t="shared" si="25"/>
        <v>#VALUE!</v>
      </c>
      <c r="EI640" s="1847"/>
      <c r="EJ640" s="1847"/>
      <c r="EK640" s="1847"/>
      <c r="EL640" s="1847"/>
      <c r="EM640" s="1847" t="e">
        <f t="shared" si="26"/>
        <v>#VALUE!</v>
      </c>
      <c r="EN640" s="1847"/>
      <c r="EO640" s="1847"/>
      <c r="EP640" s="1847"/>
      <c r="EQ640" s="1847"/>
      <c r="ER640" s="1847" t="e">
        <f t="shared" si="27"/>
        <v>#VALUE!</v>
      </c>
      <c r="ES640" s="1847"/>
      <c r="ET640" s="1847"/>
      <c r="EU640" s="1847"/>
      <c r="EV640" s="1847"/>
      <c r="EW640" s="1847" t="e">
        <f t="shared" si="28"/>
        <v>#VALUE!</v>
      </c>
      <c r="EX640" s="1847"/>
      <c r="EY640" s="1847"/>
      <c r="EZ640" s="1847"/>
      <c r="FA640" s="1847"/>
    </row>
    <row r="641" spans="1:157" ht="12.9" customHeight="1">
      <c r="A641" s="22"/>
      <c r="B641" t="s">
        <v>590</v>
      </c>
      <c r="G641" s="1395" t="s">
        <v>2685</v>
      </c>
      <c r="H641" s="1395"/>
      <c r="I641" s="1395"/>
      <c r="J641" s="1395"/>
      <c r="K641" s="1395"/>
      <c r="L641" s="1395"/>
      <c r="M641" s="1395"/>
      <c r="N641" s="1395"/>
      <c r="O641" s="1395"/>
      <c r="P641" s="1395"/>
      <c r="Q641" s="1395"/>
      <c r="R641" s="1395"/>
      <c r="T641" s="22"/>
      <c r="U641" t="s">
        <v>590</v>
      </c>
      <c r="Z641" s="1367" t="s">
        <v>2661</v>
      </c>
      <c r="AA641" s="1367"/>
      <c r="AB641" s="1367"/>
      <c r="AC641" s="1367"/>
      <c r="AD641" s="1367"/>
      <c r="AE641" s="1367"/>
      <c r="AF641" s="1367"/>
      <c r="AG641" s="1367"/>
      <c r="AH641" s="1367"/>
      <c r="AI641" s="1367"/>
      <c r="AJ641" s="1367"/>
      <c r="AK641" s="1367"/>
      <c r="AZ641" s="34"/>
      <c r="BA641" s="34"/>
      <c r="BB641" s="34"/>
      <c r="BC641" s="34"/>
      <c r="BD641" s="34"/>
      <c r="BE641" s="34"/>
      <c r="BF641" s="34"/>
      <c r="BG641" s="34"/>
      <c r="BH641" s="34"/>
      <c r="BI641" s="34"/>
      <c r="BJ641" s="34"/>
      <c r="BK641" s="34"/>
      <c r="BL641" s="34"/>
      <c r="BM641" s="34"/>
      <c r="BN641" s="1505">
        <f t="shared" si="30"/>
        <v>0</v>
      </c>
      <c r="BO641" s="1506"/>
      <c r="BP641" s="1506"/>
      <c r="BQ641" s="1506"/>
      <c r="BR641" s="1507"/>
      <c r="BS641" s="1396">
        <f t="shared" si="31"/>
        <v>0</v>
      </c>
      <c r="BT641" s="1396"/>
      <c r="BU641" s="1396"/>
      <c r="BV641" s="1396"/>
      <c r="BW641" s="1396"/>
      <c r="BX641" s="1396">
        <f t="shared" si="32"/>
        <v>0</v>
      </c>
      <c r="BY641" s="1396"/>
      <c r="BZ641" s="1396"/>
      <c r="CA641" s="1396"/>
      <c r="CB641" s="1396"/>
      <c r="CC641" s="1396">
        <f t="shared" si="33"/>
        <v>0</v>
      </c>
      <c r="CD641" s="1396"/>
      <c r="CE641" s="1396"/>
      <c r="CF641" s="1396"/>
      <c r="CG641" s="1396"/>
      <c r="CH641" s="1396">
        <f t="shared" si="34"/>
        <v>0</v>
      </c>
      <c r="CI641" s="1396"/>
      <c r="CJ641" s="1396"/>
      <c r="CK641" s="1396"/>
      <c r="CL641" s="1396"/>
      <c r="CM641" s="1396">
        <f t="shared" si="35"/>
        <v>0</v>
      </c>
      <c r="CN641" s="1396"/>
      <c r="CO641" s="1396"/>
      <c r="CP641" s="1396"/>
      <c r="CQ641" s="1396"/>
      <c r="CR641" s="6"/>
      <c r="CS641" s="1505">
        <f t="shared" si="36"/>
        <v>0</v>
      </c>
      <c r="CT641" s="1506"/>
      <c r="CU641" s="1506"/>
      <c r="CV641" s="1506"/>
      <c r="CW641" s="1507"/>
      <c r="CX641" s="1505">
        <f t="shared" si="37"/>
        <v>0</v>
      </c>
      <c r="CY641" s="1506"/>
      <c r="CZ641" s="1506"/>
      <c r="DA641" s="1506"/>
      <c r="DB641" s="1507"/>
      <c r="DC641" s="1505">
        <f t="shared" si="38"/>
        <v>0</v>
      </c>
      <c r="DD641" s="1506"/>
      <c r="DE641" s="1506"/>
      <c r="DF641" s="1506"/>
      <c r="DG641" s="1507"/>
      <c r="DH641" s="1505">
        <f t="shared" si="39"/>
        <v>0</v>
      </c>
      <c r="DI641" s="1506"/>
      <c r="DJ641" s="1506"/>
      <c r="DK641" s="1506"/>
      <c r="DL641" s="1507"/>
      <c r="DM641" s="1505">
        <f t="shared" si="40"/>
        <v>0</v>
      </c>
      <c r="DN641" s="1506"/>
      <c r="DO641" s="1506"/>
      <c r="DP641" s="1506"/>
      <c r="DQ641" s="1507"/>
      <c r="DR641" s="1505">
        <f t="shared" si="41"/>
        <v>0</v>
      </c>
      <c r="DS641" s="1506"/>
      <c r="DT641" s="1506"/>
      <c r="DU641" s="1506"/>
      <c r="DV641" s="1507"/>
      <c r="DX641" s="1847" t="e">
        <f t="shared" si="23"/>
        <v>#VALUE!</v>
      </c>
      <c r="DY641" s="1847"/>
      <c r="DZ641" s="1847"/>
      <c r="EA641" s="1847"/>
      <c r="EB641" s="1847"/>
      <c r="EC641" s="1847" t="e">
        <f t="shared" si="24"/>
        <v>#VALUE!</v>
      </c>
      <c r="ED641" s="1847"/>
      <c r="EE641" s="1847"/>
      <c r="EF641" s="1847"/>
      <c r="EG641" s="1847"/>
      <c r="EH641" s="1847" t="e">
        <f t="shared" si="25"/>
        <v>#VALUE!</v>
      </c>
      <c r="EI641" s="1847"/>
      <c r="EJ641" s="1847"/>
      <c r="EK641" s="1847"/>
      <c r="EL641" s="1847"/>
      <c r="EM641" s="1847" t="e">
        <f t="shared" si="26"/>
        <v>#VALUE!</v>
      </c>
      <c r="EN641" s="1847"/>
      <c r="EO641" s="1847"/>
      <c r="EP641" s="1847"/>
      <c r="EQ641" s="1847"/>
      <c r="ER641" s="1847" t="e">
        <f t="shared" si="27"/>
        <v>#VALUE!</v>
      </c>
      <c r="ES641" s="1847"/>
      <c r="ET641" s="1847"/>
      <c r="EU641" s="1847"/>
      <c r="EV641" s="1847"/>
      <c r="EW641" s="1847" t="e">
        <f t="shared" si="28"/>
        <v>#VALUE!</v>
      </c>
      <c r="EX641" s="1847"/>
      <c r="EY641" s="1847"/>
      <c r="EZ641" s="1847"/>
      <c r="FA641" s="1847"/>
    </row>
    <row r="642" spans="1:157" ht="12.9" customHeight="1">
      <c r="A642" s="22"/>
      <c r="B642" t="s">
        <v>17</v>
      </c>
      <c r="G642" s="1395" t="s">
        <v>2686</v>
      </c>
      <c r="H642" s="1395"/>
      <c r="I642" s="1395"/>
      <c r="J642" s="1395"/>
      <c r="K642" s="1395"/>
      <c r="L642" s="1395"/>
      <c r="M642" s="1395"/>
      <c r="N642" s="1395"/>
      <c r="O642" s="1395"/>
      <c r="P642" s="1395"/>
      <c r="Q642" s="1395"/>
      <c r="R642" s="1395"/>
      <c r="S642" s="8"/>
      <c r="T642" s="22"/>
      <c r="U642" t="s">
        <v>17</v>
      </c>
      <c r="Z642" s="1367" t="s">
        <v>2644</v>
      </c>
      <c r="AA642" s="1367"/>
      <c r="AB642" s="1367"/>
      <c r="AC642" s="1367"/>
      <c r="AD642" s="1367"/>
      <c r="AE642" s="1367"/>
      <c r="AF642" s="1367"/>
      <c r="AG642" s="1367"/>
      <c r="AH642" s="1367"/>
      <c r="AI642" s="1367"/>
      <c r="AJ642" s="1367"/>
      <c r="AK642" s="1367"/>
      <c r="AZ642" s="34"/>
      <c r="BA642" s="34"/>
      <c r="BB642" s="34"/>
      <c r="BC642" s="34"/>
      <c r="BD642" s="34"/>
      <c r="BE642" s="34"/>
      <c r="BF642" s="34"/>
      <c r="BG642" s="34"/>
      <c r="BH642" s="34"/>
      <c r="BI642" s="34"/>
      <c r="BJ642" s="34"/>
      <c r="BK642" s="34"/>
      <c r="BL642" s="34"/>
      <c r="BM642" s="34"/>
      <c r="BN642" s="1505">
        <f t="shared" si="30"/>
        <v>0</v>
      </c>
      <c r="BO642" s="1506"/>
      <c r="BP642" s="1506"/>
      <c r="BQ642" s="1506"/>
      <c r="BR642" s="1507"/>
      <c r="BS642" s="1396">
        <f t="shared" si="31"/>
        <v>0</v>
      </c>
      <c r="BT642" s="1396"/>
      <c r="BU642" s="1396"/>
      <c r="BV642" s="1396"/>
      <c r="BW642" s="1396"/>
      <c r="BX642" s="1396">
        <f t="shared" si="32"/>
        <v>0</v>
      </c>
      <c r="BY642" s="1396"/>
      <c r="BZ642" s="1396"/>
      <c r="CA642" s="1396"/>
      <c r="CB642" s="1396"/>
      <c r="CC642" s="1396">
        <f t="shared" si="33"/>
        <v>0</v>
      </c>
      <c r="CD642" s="1396"/>
      <c r="CE642" s="1396"/>
      <c r="CF642" s="1396"/>
      <c r="CG642" s="1396"/>
      <c r="CH642" s="1396">
        <f t="shared" si="34"/>
        <v>0</v>
      </c>
      <c r="CI642" s="1396"/>
      <c r="CJ642" s="1396"/>
      <c r="CK642" s="1396"/>
      <c r="CL642" s="1396"/>
      <c r="CM642" s="1396">
        <f t="shared" si="35"/>
        <v>0</v>
      </c>
      <c r="CN642" s="1396"/>
      <c r="CO642" s="1396"/>
      <c r="CP642" s="1396"/>
      <c r="CQ642" s="1396"/>
      <c r="CR642" s="6"/>
      <c r="CS642" s="1505">
        <f t="shared" si="36"/>
        <v>0</v>
      </c>
      <c r="CT642" s="1506"/>
      <c r="CU642" s="1506"/>
      <c r="CV642" s="1506"/>
      <c r="CW642" s="1507"/>
      <c r="CX642" s="1505">
        <f t="shared" si="37"/>
        <v>0</v>
      </c>
      <c r="CY642" s="1506"/>
      <c r="CZ642" s="1506"/>
      <c r="DA642" s="1506"/>
      <c r="DB642" s="1507"/>
      <c r="DC642" s="1505">
        <f t="shared" si="38"/>
        <v>0</v>
      </c>
      <c r="DD642" s="1506"/>
      <c r="DE642" s="1506"/>
      <c r="DF642" s="1506"/>
      <c r="DG642" s="1507"/>
      <c r="DH642" s="1505">
        <f t="shared" si="39"/>
        <v>0</v>
      </c>
      <c r="DI642" s="1506"/>
      <c r="DJ642" s="1506"/>
      <c r="DK642" s="1506"/>
      <c r="DL642" s="1507"/>
      <c r="DM642" s="1505">
        <f t="shared" si="40"/>
        <v>0</v>
      </c>
      <c r="DN642" s="1506"/>
      <c r="DO642" s="1506"/>
      <c r="DP642" s="1506"/>
      <c r="DQ642" s="1507"/>
      <c r="DR642" s="1505">
        <f t="shared" si="41"/>
        <v>0</v>
      </c>
      <c r="DS642" s="1506"/>
      <c r="DT642" s="1506"/>
      <c r="DU642" s="1506"/>
      <c r="DV642" s="1507"/>
      <c r="DX642" s="1847" t="e">
        <f t="shared" si="23"/>
        <v>#VALUE!</v>
      </c>
      <c r="DY642" s="1847"/>
      <c r="DZ642" s="1847"/>
      <c r="EA642" s="1847"/>
      <c r="EB642" s="1847"/>
      <c r="EC642" s="1847" t="e">
        <f t="shared" si="24"/>
        <v>#VALUE!</v>
      </c>
      <c r="ED642" s="1847"/>
      <c r="EE642" s="1847"/>
      <c r="EF642" s="1847"/>
      <c r="EG642" s="1847"/>
      <c r="EH642" s="1847" t="e">
        <f t="shared" si="25"/>
        <v>#VALUE!</v>
      </c>
      <c r="EI642" s="1847"/>
      <c r="EJ642" s="1847"/>
      <c r="EK642" s="1847"/>
      <c r="EL642" s="1847"/>
      <c r="EM642" s="1847" t="e">
        <f t="shared" si="26"/>
        <v>#VALUE!</v>
      </c>
      <c r="EN642" s="1847"/>
      <c r="EO642" s="1847"/>
      <c r="EP642" s="1847"/>
      <c r="EQ642" s="1847"/>
      <c r="ER642" s="1847" t="e">
        <f t="shared" si="27"/>
        <v>#VALUE!</v>
      </c>
      <c r="ES642" s="1847"/>
      <c r="ET642" s="1847"/>
      <c r="EU642" s="1847"/>
      <c r="EV642" s="1847"/>
      <c r="EW642" s="1847" t="e">
        <f t="shared" si="28"/>
        <v>#VALUE!</v>
      </c>
      <c r="EX642" s="1847"/>
      <c r="EY642" s="1847"/>
      <c r="EZ642" s="1847"/>
      <c r="FA642" s="1847"/>
    </row>
    <row r="643" spans="1:157" ht="12.9" customHeight="1">
      <c r="A643" s="22"/>
      <c r="B643" t="s">
        <v>318</v>
      </c>
      <c r="G643" s="1436">
        <v>8055570933</v>
      </c>
      <c r="H643" s="1436"/>
      <c r="I643" s="1436"/>
      <c r="J643" s="1436"/>
      <c r="K643" s="1436"/>
      <c r="L643" s="1436"/>
      <c r="O643" s="33" t="s">
        <v>208</v>
      </c>
      <c r="P643" s="1462"/>
      <c r="Q643" s="1462"/>
      <c r="R643" s="1462"/>
      <c r="S643" s="10"/>
      <c r="T643" s="22"/>
      <c r="U643" t="s">
        <v>318</v>
      </c>
      <c r="Z643" s="1436" t="s">
        <v>2645</v>
      </c>
      <c r="AA643" s="1436"/>
      <c r="AB643" s="1436"/>
      <c r="AC643" s="1436"/>
      <c r="AD643" s="1436"/>
      <c r="AE643" s="1436"/>
      <c r="AH643" s="33" t="s">
        <v>208</v>
      </c>
      <c r="AI643" s="1462"/>
      <c r="AJ643" s="1462"/>
      <c r="AK643" s="1462"/>
      <c r="AZ643" s="34"/>
      <c r="BA643" s="34"/>
      <c r="BB643" s="34"/>
      <c r="BC643" s="34"/>
      <c r="BD643" s="34"/>
      <c r="BE643" s="34"/>
      <c r="BF643" s="34"/>
      <c r="BG643" s="34"/>
      <c r="BH643" s="34"/>
      <c r="BI643" s="34"/>
      <c r="BJ643" s="34"/>
      <c r="BK643" s="34"/>
      <c r="BL643" s="34"/>
      <c r="BM643" s="34"/>
      <c r="BN643" s="1505">
        <f t="shared" si="30"/>
        <v>0</v>
      </c>
      <c r="BO643" s="1506"/>
      <c r="BP643" s="1506"/>
      <c r="BQ643" s="1506"/>
      <c r="BR643" s="1507"/>
      <c r="BS643" s="1396">
        <f t="shared" si="31"/>
        <v>0</v>
      </c>
      <c r="BT643" s="1396"/>
      <c r="BU643" s="1396"/>
      <c r="BV643" s="1396"/>
      <c r="BW643" s="1396"/>
      <c r="BX643" s="1396">
        <f t="shared" si="32"/>
        <v>0</v>
      </c>
      <c r="BY643" s="1396"/>
      <c r="BZ643" s="1396"/>
      <c r="CA643" s="1396"/>
      <c r="CB643" s="1396"/>
      <c r="CC643" s="1396">
        <f t="shared" si="33"/>
        <v>0</v>
      </c>
      <c r="CD643" s="1396"/>
      <c r="CE643" s="1396"/>
      <c r="CF643" s="1396"/>
      <c r="CG643" s="1396"/>
      <c r="CH643" s="1396">
        <f t="shared" si="34"/>
        <v>0</v>
      </c>
      <c r="CI643" s="1396"/>
      <c r="CJ643" s="1396"/>
      <c r="CK643" s="1396"/>
      <c r="CL643" s="1396"/>
      <c r="CM643" s="1396">
        <f t="shared" si="35"/>
        <v>0</v>
      </c>
      <c r="CN643" s="1396"/>
      <c r="CO643" s="1396"/>
      <c r="CP643" s="1396"/>
      <c r="CQ643" s="1396"/>
      <c r="CR643" s="6"/>
      <c r="CS643" s="1505">
        <f t="shared" si="36"/>
        <v>0</v>
      </c>
      <c r="CT643" s="1506"/>
      <c r="CU643" s="1506"/>
      <c r="CV643" s="1506"/>
      <c r="CW643" s="1507"/>
      <c r="CX643" s="1505">
        <f t="shared" si="37"/>
        <v>0</v>
      </c>
      <c r="CY643" s="1506"/>
      <c r="CZ643" s="1506"/>
      <c r="DA643" s="1506"/>
      <c r="DB643" s="1507"/>
      <c r="DC643" s="1505">
        <f t="shared" si="38"/>
        <v>0</v>
      </c>
      <c r="DD643" s="1506"/>
      <c r="DE643" s="1506"/>
      <c r="DF643" s="1506"/>
      <c r="DG643" s="1507"/>
      <c r="DH643" s="1505">
        <f t="shared" si="39"/>
        <v>0</v>
      </c>
      <c r="DI643" s="1506"/>
      <c r="DJ643" s="1506"/>
      <c r="DK643" s="1506"/>
      <c r="DL643" s="1507"/>
      <c r="DM643" s="1505">
        <f t="shared" si="40"/>
        <v>0</v>
      </c>
      <c r="DN643" s="1506"/>
      <c r="DO643" s="1506"/>
      <c r="DP643" s="1506"/>
      <c r="DQ643" s="1507"/>
      <c r="DR643" s="1505">
        <f t="shared" si="41"/>
        <v>0</v>
      </c>
      <c r="DS643" s="1506"/>
      <c r="DT643" s="1506"/>
      <c r="DU643" s="1506"/>
      <c r="DV643" s="1507"/>
      <c r="DX643" s="1847" t="e">
        <f t="shared" si="23"/>
        <v>#VALUE!</v>
      </c>
      <c r="DY643" s="1847"/>
      <c r="DZ643" s="1847"/>
      <c r="EA643" s="1847"/>
      <c r="EB643" s="1847"/>
      <c r="EC643" s="1847" t="e">
        <f t="shared" si="24"/>
        <v>#VALUE!</v>
      </c>
      <c r="ED643" s="1847"/>
      <c r="EE643" s="1847"/>
      <c r="EF643" s="1847"/>
      <c r="EG643" s="1847"/>
      <c r="EH643" s="1847" t="e">
        <f t="shared" si="25"/>
        <v>#VALUE!</v>
      </c>
      <c r="EI643" s="1847"/>
      <c r="EJ643" s="1847"/>
      <c r="EK643" s="1847"/>
      <c r="EL643" s="1847"/>
      <c r="EM643" s="1847" t="e">
        <f t="shared" si="26"/>
        <v>#VALUE!</v>
      </c>
      <c r="EN643" s="1847"/>
      <c r="EO643" s="1847"/>
      <c r="EP643" s="1847"/>
      <c r="EQ643" s="1847"/>
      <c r="ER643" s="1847" t="e">
        <f t="shared" si="27"/>
        <v>#VALUE!</v>
      </c>
      <c r="ES643" s="1847"/>
      <c r="ET643" s="1847"/>
      <c r="EU643" s="1847"/>
      <c r="EV643" s="1847"/>
      <c r="EW643" s="1847" t="e">
        <f t="shared" si="28"/>
        <v>#VALUE!</v>
      </c>
      <c r="EX643" s="1847"/>
      <c r="EY643" s="1847"/>
      <c r="EZ643" s="1847"/>
      <c r="FA643" s="1847"/>
    </row>
    <row r="644" spans="1:157" ht="12.9" customHeight="1">
      <c r="A644" s="22"/>
      <c r="B644" t="s">
        <v>18</v>
      </c>
      <c r="H644" s="1510" t="s">
        <v>2705</v>
      </c>
      <c r="I644" s="1395"/>
      <c r="J644" s="1395"/>
      <c r="K644" s="1395"/>
      <c r="L644" s="1395"/>
      <c r="M644" s="1395"/>
      <c r="N644" s="1395"/>
      <c r="O644" s="1395"/>
      <c r="P644" s="1395"/>
      <c r="Q644" s="1395"/>
      <c r="R644" s="1395"/>
      <c r="S644" s="8"/>
      <c r="T644" s="22"/>
      <c r="U644" t="s">
        <v>18</v>
      </c>
      <c r="AA644" s="1395" t="s">
        <v>2689</v>
      </c>
      <c r="AB644" s="1395"/>
      <c r="AC644" s="1395"/>
      <c r="AD644" s="1395"/>
      <c r="AE644" s="1395"/>
      <c r="AF644" s="1395"/>
      <c r="AG644" s="1395"/>
      <c r="AH644" s="1395"/>
      <c r="AI644" s="1395"/>
      <c r="AJ644" s="1395"/>
      <c r="AK644" s="1395"/>
      <c r="AZ644" s="34"/>
      <c r="BA644" s="34"/>
      <c r="BB644" s="34"/>
      <c r="BC644" s="34"/>
      <c r="BD644" s="34"/>
      <c r="BE644" s="34"/>
      <c r="BF644" s="34"/>
      <c r="BG644" s="34"/>
      <c r="BH644" s="34"/>
      <c r="BI644" s="34"/>
      <c r="BJ644" s="34"/>
      <c r="BK644" s="34"/>
      <c r="BL644" s="34"/>
      <c r="BM644" s="34"/>
      <c r="BN644" s="1494">
        <f>SUM(BN634:BR643)</f>
        <v>0</v>
      </c>
      <c r="BO644" s="1508"/>
      <c r="BP644" s="1508"/>
      <c r="BQ644" s="1508"/>
      <c r="BR644" s="1495"/>
      <c r="BS644" s="1697">
        <f>SUM(BS634:BW643)</f>
        <v>0</v>
      </c>
      <c r="BT644" s="1698"/>
      <c r="BU644" s="1698"/>
      <c r="BV644" s="1698"/>
      <c r="BW644" s="1699"/>
      <c r="BX644" s="1697">
        <f>SUM(BX634:CB643)</f>
        <v>0</v>
      </c>
      <c r="BY644" s="1698"/>
      <c r="BZ644" s="1698"/>
      <c r="CA644" s="1698"/>
      <c r="CB644" s="1699"/>
      <c r="CC644" s="1697">
        <f>SUM(CC634:CG643)</f>
        <v>0</v>
      </c>
      <c r="CD644" s="1698"/>
      <c r="CE644" s="1698"/>
      <c r="CF644" s="1698"/>
      <c r="CG644" s="1699"/>
      <c r="CH644" s="1697">
        <f>SUM(CH634:CL643)</f>
        <v>0</v>
      </c>
      <c r="CI644" s="1698"/>
      <c r="CJ644" s="1698"/>
      <c r="CK644" s="1698"/>
      <c r="CL644" s="1699"/>
      <c r="CM644" s="1697">
        <f>SUM(CM634:CQ643)</f>
        <v>0</v>
      </c>
      <c r="CN644" s="1698"/>
      <c r="CO644" s="1698"/>
      <c r="CP644" s="1698"/>
      <c r="CQ644" s="1699"/>
      <c r="CR644" s="1049"/>
      <c r="CS644" s="1695">
        <f>SUM(CS634:CW643)</f>
        <v>0</v>
      </c>
      <c r="CT644" s="1695"/>
      <c r="CU644" s="1695"/>
      <c r="CV644" s="1695"/>
      <c r="CW644" s="1695"/>
      <c r="CX644" s="1695">
        <f>SUM(CX634:DB643)</f>
        <v>0</v>
      </c>
      <c r="CY644" s="1695"/>
      <c r="CZ644" s="1695"/>
      <c r="DA644" s="1695"/>
      <c r="DB644" s="1695"/>
      <c r="DC644" s="1695">
        <f>SUM(DC634:DG643)</f>
        <v>0</v>
      </c>
      <c r="DD644" s="1695"/>
      <c r="DE644" s="1695"/>
      <c r="DF644" s="1695"/>
      <c r="DG644" s="1695"/>
      <c r="DH644" s="1695">
        <f>SUM(DH634:DL643)</f>
        <v>0</v>
      </c>
      <c r="DI644" s="1695"/>
      <c r="DJ644" s="1695"/>
      <c r="DK644" s="1695"/>
      <c r="DL644" s="1695"/>
      <c r="DM644" s="1695">
        <f>SUM(DM634:DQ643)</f>
        <v>0</v>
      </c>
      <c r="DN644" s="1695"/>
      <c r="DO644" s="1695"/>
      <c r="DP644" s="1695"/>
      <c r="DQ644" s="1695"/>
      <c r="DR644" s="1695">
        <f>SUM(DR634:DV643)</f>
        <v>0</v>
      </c>
      <c r="DS644" s="1695"/>
      <c r="DT644" s="1695"/>
      <c r="DU644" s="1695"/>
      <c r="DV644" s="1695"/>
      <c r="DX644" s="1847" t="e">
        <f t="shared" si="23"/>
        <v>#VALUE!</v>
      </c>
      <c r="DY644" s="1847"/>
      <c r="DZ644" s="1847"/>
      <c r="EA644" s="1847"/>
      <c r="EB644" s="1847"/>
      <c r="EC644" s="1847" t="e">
        <f t="shared" si="24"/>
        <v>#VALUE!</v>
      </c>
      <c r="ED644" s="1847"/>
      <c r="EE644" s="1847"/>
      <c r="EF644" s="1847"/>
      <c r="EG644" s="1847"/>
      <c r="EH644" s="1847" t="e">
        <f t="shared" si="25"/>
        <v>#VALUE!</v>
      </c>
      <c r="EI644" s="1847"/>
      <c r="EJ644" s="1847"/>
      <c r="EK644" s="1847"/>
      <c r="EL644" s="1847"/>
      <c r="EM644" s="1847" t="e">
        <f t="shared" si="26"/>
        <v>#VALUE!</v>
      </c>
      <c r="EN644" s="1847"/>
      <c r="EO644" s="1847"/>
      <c r="EP644" s="1847"/>
      <c r="EQ644" s="1847"/>
      <c r="ER644" s="1847" t="e">
        <f t="shared" si="27"/>
        <v>#VALUE!</v>
      </c>
      <c r="ES644" s="1847"/>
      <c r="ET644" s="1847"/>
      <c r="EU644" s="1847"/>
      <c r="EV644" s="1847"/>
      <c r="EW644" s="1847" t="e">
        <f t="shared" si="28"/>
        <v>#VALUE!</v>
      </c>
      <c r="EX644" s="1847"/>
      <c r="EY644" s="1847"/>
      <c r="EZ644" s="1847"/>
      <c r="FA644" s="1847"/>
    </row>
    <row r="645" spans="1:157" ht="12.9" customHeight="1">
      <c r="A645" s="22"/>
      <c r="B645" t="s">
        <v>20</v>
      </c>
      <c r="N645" s="1374" t="s">
        <v>555</v>
      </c>
      <c r="O645" s="1374"/>
      <c r="T645" s="22"/>
      <c r="U645" t="s">
        <v>20</v>
      </c>
      <c r="AG645" s="1374" t="s">
        <v>555</v>
      </c>
      <c r="AH645" s="1374"/>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47" t="e">
        <f t="shared" si="23"/>
        <v>#VALUE!</v>
      </c>
      <c r="DY645" s="1847"/>
      <c r="DZ645" s="1847"/>
      <c r="EA645" s="1847"/>
      <c r="EB645" s="1847"/>
      <c r="EC645" s="1847" t="e">
        <f t="shared" si="24"/>
        <v>#VALUE!</v>
      </c>
      <c r="ED645" s="1847"/>
      <c r="EE645" s="1847"/>
      <c r="EF645" s="1847"/>
      <c r="EG645" s="1847"/>
      <c r="EH645" s="1847" t="e">
        <f t="shared" si="25"/>
        <v>#VALUE!</v>
      </c>
      <c r="EI645" s="1847"/>
      <c r="EJ645" s="1847"/>
      <c r="EK645" s="1847"/>
      <c r="EL645" s="1847"/>
      <c r="EM645" s="1847" t="e">
        <f t="shared" si="26"/>
        <v>#VALUE!</v>
      </c>
      <c r="EN645" s="1847"/>
      <c r="EO645" s="1847"/>
      <c r="EP645" s="1847"/>
      <c r="EQ645" s="1847"/>
      <c r="ER645" s="1847" t="e">
        <f t="shared" si="27"/>
        <v>#VALUE!</v>
      </c>
      <c r="ES645" s="1847"/>
      <c r="ET645" s="1847"/>
      <c r="EU645" s="1847"/>
      <c r="EV645" s="1847"/>
      <c r="EW645" s="1847" t="e">
        <f t="shared" si="28"/>
        <v>#VALUE!</v>
      </c>
      <c r="EX645" s="1847"/>
      <c r="EY645" s="1847"/>
      <c r="EZ645" s="1847"/>
      <c r="FA645" s="1847"/>
    </row>
    <row r="646" spans="1:157" ht="12.9"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2120</v>
      </c>
      <c r="CU646" s="3"/>
      <c r="CV646" s="3"/>
      <c r="CW646" s="3"/>
      <c r="CX646" s="3"/>
      <c r="CY646" s="3"/>
      <c r="CZ646" s="3"/>
      <c r="DA646" s="3"/>
      <c r="DB646" s="3"/>
      <c r="DC646" s="3"/>
      <c r="DD646" s="3"/>
      <c r="DE646" s="3"/>
      <c r="DF646" s="3"/>
      <c r="DQ646" s="56" t="s">
        <v>2132</v>
      </c>
      <c r="DR646" s="1847">
        <f>SUM(CS644:DV644)</f>
        <v>0</v>
      </c>
      <c r="DS646" s="1847"/>
      <c r="DT646" s="1847"/>
      <c r="DU646" s="1847"/>
      <c r="DV646" s="1847"/>
      <c r="DX646" s="1847" t="e">
        <f t="shared" si="23"/>
        <v>#VALUE!</v>
      </c>
      <c r="DY646" s="1847"/>
      <c r="DZ646" s="1847"/>
      <c r="EA646" s="1847"/>
      <c r="EB646" s="1847"/>
      <c r="EC646" s="1847" t="e">
        <f t="shared" si="24"/>
        <v>#VALUE!</v>
      </c>
      <c r="ED646" s="1847"/>
      <c r="EE646" s="1847"/>
      <c r="EF646" s="1847"/>
      <c r="EG646" s="1847"/>
      <c r="EH646" s="1847" t="e">
        <f t="shared" si="25"/>
        <v>#VALUE!</v>
      </c>
      <c r="EI646" s="1847"/>
      <c r="EJ646" s="1847"/>
      <c r="EK646" s="1847"/>
      <c r="EL646" s="1847"/>
      <c r="EM646" s="1847" t="e">
        <f t="shared" si="26"/>
        <v>#VALUE!</v>
      </c>
      <c r="EN646" s="1847"/>
      <c r="EO646" s="1847"/>
      <c r="EP646" s="1847"/>
      <c r="EQ646" s="1847"/>
      <c r="ER646" s="1847" t="e">
        <f t="shared" si="27"/>
        <v>#VALUE!</v>
      </c>
      <c r="ES646" s="1847"/>
      <c r="ET646" s="1847"/>
      <c r="EU646" s="1847"/>
      <c r="EV646" s="1847"/>
      <c r="EW646" s="1847" t="e">
        <f t="shared" si="28"/>
        <v>#VALUE!</v>
      </c>
      <c r="EX646" s="1847"/>
      <c r="EY646" s="1847"/>
      <c r="EZ646" s="1847"/>
      <c r="FA646" s="1847"/>
    </row>
    <row r="647" spans="1:157" ht="12.9" customHeight="1">
      <c r="A647" s="55" t="s">
        <v>120</v>
      </c>
      <c r="B647" t="s">
        <v>473</v>
      </c>
      <c r="G647" s="1511" t="str">
        <f>C625</f>
        <v>Vintage Housing Development, Inc.</v>
      </c>
      <c r="H647" s="1511"/>
      <c r="I647" s="1511"/>
      <c r="J647" s="1511"/>
      <c r="K647" s="1511"/>
      <c r="L647" s="1511"/>
      <c r="M647" s="1511"/>
      <c r="N647" s="1511"/>
      <c r="O647" s="1511"/>
      <c r="P647" s="1511"/>
      <c r="Q647" s="1511"/>
      <c r="R647" s="1511"/>
      <c r="T647" s="55" t="s">
        <v>591</v>
      </c>
      <c r="U647" t="s">
        <v>473</v>
      </c>
      <c r="Z647" s="1511">
        <f>C626</f>
        <v>0</v>
      </c>
      <c r="AA647" s="1511"/>
      <c r="AB647" s="1511"/>
      <c r="AC647" s="1511"/>
      <c r="AD647" s="1511"/>
      <c r="AE647" s="1511"/>
      <c r="AF647" s="1511"/>
      <c r="AG647" s="1511"/>
      <c r="AH647" s="1511"/>
      <c r="AI647" s="1511"/>
      <c r="AJ647" s="1511"/>
      <c r="AK647" s="1511"/>
      <c r="AZ647" s="34"/>
      <c r="BA647" s="34"/>
      <c r="BB647" s="34"/>
      <c r="BC647" s="34"/>
      <c r="BD647" s="34"/>
      <c r="BE647" s="34"/>
      <c r="BF647" s="34"/>
      <c r="BG647" s="34"/>
      <c r="BH647" s="34"/>
      <c r="BI647" s="34"/>
      <c r="BJ647" s="34"/>
      <c r="BK647" s="34"/>
      <c r="BL647" s="34"/>
      <c r="BM647" s="34"/>
      <c r="CR647" s="3"/>
      <c r="CS647" s="897">
        <f>BR645+BW645+CB645+CG645+CL645+CQ645</f>
        <v>0</v>
      </c>
      <c r="CT647" s="57" t="s">
        <v>1808</v>
      </c>
      <c r="CU647" s="3"/>
      <c r="CV647" s="3"/>
      <c r="CW647" s="3"/>
      <c r="CX647" s="3"/>
      <c r="CY647" s="3"/>
      <c r="CZ647" s="3"/>
      <c r="DA647" s="3"/>
      <c r="DB647" s="3"/>
      <c r="DC647" s="3"/>
      <c r="DD647" s="3"/>
      <c r="DE647" s="3"/>
      <c r="DF647" s="3"/>
      <c r="DX647" s="1847" t="e">
        <f t="shared" si="23"/>
        <v>#VALUE!</v>
      </c>
      <c r="DY647" s="1847"/>
      <c r="DZ647" s="1847"/>
      <c r="EA647" s="1847"/>
      <c r="EB647" s="1847"/>
      <c r="EC647" s="1847" t="e">
        <f t="shared" si="24"/>
        <v>#VALUE!</v>
      </c>
      <c r="ED647" s="1847"/>
      <c r="EE647" s="1847"/>
      <c r="EF647" s="1847"/>
      <c r="EG647" s="1847"/>
      <c r="EH647" s="1847" t="e">
        <f t="shared" si="25"/>
        <v>#VALUE!</v>
      </c>
      <c r="EI647" s="1847"/>
      <c r="EJ647" s="1847"/>
      <c r="EK647" s="1847"/>
      <c r="EL647" s="1847"/>
      <c r="EM647" s="1847" t="e">
        <f t="shared" si="26"/>
        <v>#VALUE!</v>
      </c>
      <c r="EN647" s="1847"/>
      <c r="EO647" s="1847"/>
      <c r="EP647" s="1847"/>
      <c r="EQ647" s="1847"/>
      <c r="ER647" s="1847" t="e">
        <f t="shared" si="27"/>
        <v>#VALUE!</v>
      </c>
      <c r="ES647" s="1847"/>
      <c r="ET647" s="1847"/>
      <c r="EU647" s="1847"/>
      <c r="EV647" s="1847"/>
      <c r="EW647" s="1847" t="e">
        <f t="shared" si="28"/>
        <v>#VALUE!</v>
      </c>
      <c r="EX647" s="1847"/>
      <c r="EY647" s="1847"/>
      <c r="EZ647" s="1847"/>
      <c r="FA647" s="1847"/>
    </row>
    <row r="648" spans="1:157" ht="12.9" customHeight="1">
      <c r="A648" s="22"/>
      <c r="B648" t="s">
        <v>86</v>
      </c>
      <c r="G648" s="1395" t="s">
        <v>2642</v>
      </c>
      <c r="H648" s="1395"/>
      <c r="I648" s="1395"/>
      <c r="J648" s="1395"/>
      <c r="K648" s="1395"/>
      <c r="L648" s="1395"/>
      <c r="M648" s="1395"/>
      <c r="N648" s="1395"/>
      <c r="O648" s="1395"/>
      <c r="P648" s="1395"/>
      <c r="Q648" s="1395"/>
      <c r="R648" s="1395"/>
      <c r="T648" s="22"/>
      <c r="U648" t="s">
        <v>86</v>
      </c>
      <c r="Z648" s="1395"/>
      <c r="AA648" s="1395"/>
      <c r="AB648" s="1395"/>
      <c r="AC648" s="1395"/>
      <c r="AD648" s="1395"/>
      <c r="AE648" s="1395"/>
      <c r="AF648" s="1395"/>
      <c r="AG648" s="1395"/>
      <c r="AH648" s="1395"/>
      <c r="AI648" s="1395"/>
      <c r="AJ648" s="1395"/>
      <c r="AK648" s="1395"/>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47" t="e">
        <f t="shared" si="23"/>
        <v>#VALUE!</v>
      </c>
      <c r="DY648" s="1847"/>
      <c r="DZ648" s="1847"/>
      <c r="EA648" s="1847"/>
      <c r="EB648" s="1847"/>
      <c r="EC648" s="1847" t="e">
        <f t="shared" si="24"/>
        <v>#VALUE!</v>
      </c>
      <c r="ED648" s="1847"/>
      <c r="EE648" s="1847"/>
      <c r="EF648" s="1847"/>
      <c r="EG648" s="1847"/>
      <c r="EH648" s="1847" t="e">
        <f t="shared" si="25"/>
        <v>#VALUE!</v>
      </c>
      <c r="EI648" s="1847"/>
      <c r="EJ648" s="1847"/>
      <c r="EK648" s="1847"/>
      <c r="EL648" s="1847"/>
      <c r="EM648" s="1847" t="e">
        <f t="shared" si="26"/>
        <v>#VALUE!</v>
      </c>
      <c r="EN648" s="1847"/>
      <c r="EO648" s="1847"/>
      <c r="EP648" s="1847"/>
      <c r="EQ648" s="1847"/>
      <c r="ER648" s="1847" t="e">
        <f t="shared" si="27"/>
        <v>#VALUE!</v>
      </c>
      <c r="ES648" s="1847"/>
      <c r="ET648" s="1847"/>
      <c r="EU648" s="1847"/>
      <c r="EV648" s="1847"/>
      <c r="EW648" s="1847" t="e">
        <f t="shared" si="28"/>
        <v>#VALUE!</v>
      </c>
      <c r="EX648" s="1847"/>
      <c r="EY648" s="1847"/>
      <c r="EZ648" s="1847"/>
      <c r="FA648" s="1847"/>
    </row>
    <row r="649" spans="1:157" ht="12.9" customHeight="1">
      <c r="A649" s="22"/>
      <c r="B649" t="s">
        <v>590</v>
      </c>
      <c r="G649" s="1367" t="s">
        <v>2661</v>
      </c>
      <c r="H649" s="1367"/>
      <c r="I649" s="1367"/>
      <c r="J649" s="1367"/>
      <c r="K649" s="1367"/>
      <c r="L649" s="1367"/>
      <c r="M649" s="1367"/>
      <c r="N649" s="1367"/>
      <c r="O649" s="1367"/>
      <c r="P649" s="1367"/>
      <c r="Q649" s="1367"/>
      <c r="R649" s="1367"/>
      <c r="T649" s="22"/>
      <c r="U649" t="s">
        <v>590</v>
      </c>
      <c r="Z649" s="1367"/>
      <c r="AA649" s="1367"/>
      <c r="AB649" s="1367"/>
      <c r="AC649" s="1367"/>
      <c r="AD649" s="1367"/>
      <c r="AE649" s="1367"/>
      <c r="AF649" s="1367"/>
      <c r="AG649" s="1367"/>
      <c r="AH649" s="1367"/>
      <c r="AI649" s="1367"/>
      <c r="AJ649" s="1367"/>
      <c r="AK649" s="1367"/>
      <c r="AZ649" s="34"/>
      <c r="BA649" s="34"/>
      <c r="BB649" s="34"/>
      <c r="BC649" s="34"/>
      <c r="BD649" s="34"/>
      <c r="BE649" s="34"/>
      <c r="BF649" s="34"/>
      <c r="BG649" s="34"/>
      <c r="BH649" s="34"/>
      <c r="BI649" s="34"/>
      <c r="BJ649" s="34"/>
      <c r="BK649" s="34"/>
      <c r="BL649" s="34"/>
      <c r="BM649" s="34"/>
      <c r="BN649" s="1697">
        <f>BN621+BN630+BN644</f>
        <v>0</v>
      </c>
      <c r="BO649" s="1698"/>
      <c r="BP649" s="1698"/>
      <c r="BQ649" s="1698"/>
      <c r="BR649" s="1699"/>
      <c r="BS649" s="1697">
        <f>BS621+BS630+BS644</f>
        <v>105</v>
      </c>
      <c r="BT649" s="1698"/>
      <c r="BU649" s="1698"/>
      <c r="BV649" s="1698"/>
      <c r="BW649" s="1699"/>
      <c r="BX649" s="1697">
        <f>BX621+BX630+BX644</f>
        <v>63</v>
      </c>
      <c r="BY649" s="1698"/>
      <c r="BZ649" s="1698"/>
      <c r="CA649" s="1698"/>
      <c r="CB649" s="1699"/>
      <c r="CC649" s="1697">
        <f>CC621+CC630+CC644</f>
        <v>60</v>
      </c>
      <c r="CD649" s="1698"/>
      <c r="CE649" s="1698"/>
      <c r="CF649" s="1698"/>
      <c r="CG649" s="1699"/>
      <c r="CH649" s="1697">
        <f>CH621+CH630+CH644</f>
        <v>0</v>
      </c>
      <c r="CI649" s="1698"/>
      <c r="CJ649" s="1698"/>
      <c r="CK649" s="1698"/>
      <c r="CL649" s="1699"/>
      <c r="CM649" s="1420">
        <f>CM644+CM630+CM621</f>
        <v>0</v>
      </c>
      <c r="CN649" s="1843"/>
      <c r="CO649" s="1843"/>
      <c r="CP649" s="1843"/>
      <c r="CQ649" s="1421"/>
      <c r="CR649" s="3"/>
      <c r="CS649" s="897">
        <f>CS623+CS647</f>
        <v>407</v>
      </c>
      <c r="CT649" s="57" t="s">
        <v>2125</v>
      </c>
      <c r="CU649" s="3"/>
      <c r="CV649" s="3"/>
      <c r="CW649" s="3"/>
      <c r="CX649" s="3"/>
      <c r="CY649" s="3"/>
      <c r="CZ649" s="3"/>
      <c r="DA649" s="3"/>
      <c r="DB649" s="3"/>
      <c r="DC649" s="3"/>
      <c r="DD649" s="3"/>
      <c r="DE649" s="3"/>
      <c r="DF649" s="3"/>
      <c r="DX649" s="1847">
        <f>SUMIF(DX624:EB648,"&gt;0")</f>
        <v>0</v>
      </c>
      <c r="DY649" s="1847"/>
      <c r="DZ649" s="1847"/>
      <c r="EA649" s="1847"/>
      <c r="EB649" s="1847"/>
      <c r="EC649" s="1847">
        <f>SUMIF(EC624:EG648,"&gt;0")</f>
        <v>1442.5714285714287</v>
      </c>
      <c r="ED649" s="1847"/>
      <c r="EE649" s="1847"/>
      <c r="EF649" s="1847"/>
      <c r="EG649" s="1847"/>
      <c r="EH649" s="1847">
        <f>SUMIF(EH624:EL648,"&gt;0")</f>
        <v>1718.5901639344261</v>
      </c>
      <c r="EI649" s="1847"/>
      <c r="EJ649" s="1847"/>
      <c r="EK649" s="1847"/>
      <c r="EL649" s="1847"/>
      <c r="EM649" s="1847">
        <f>SUMIF(EM624:EQ648,"&gt;0")</f>
        <v>2006.6</v>
      </c>
      <c r="EN649" s="1847"/>
      <c r="EO649" s="1847"/>
      <c r="EP649" s="1847"/>
      <c r="EQ649" s="1847"/>
      <c r="ER649" s="1847">
        <f>SUMIF(ER624:EV648,"&gt;0")</f>
        <v>0</v>
      </c>
      <c r="ES649" s="1847"/>
      <c r="ET649" s="1847"/>
      <c r="EU649" s="1847"/>
      <c r="EV649" s="1847"/>
      <c r="EW649" s="1847">
        <f>SUMIF(EW624:FA648,"&gt;0")</f>
        <v>0</v>
      </c>
      <c r="EX649" s="1847"/>
      <c r="EY649" s="1847"/>
      <c r="EZ649" s="1847"/>
      <c r="FA649" s="1847"/>
    </row>
    <row r="650" spans="1:157" ht="12.9" customHeight="1">
      <c r="A650" s="22"/>
      <c r="B650" t="s">
        <v>17</v>
      </c>
      <c r="G650" s="1367" t="s">
        <v>2644</v>
      </c>
      <c r="H650" s="1367"/>
      <c r="I650" s="1367"/>
      <c r="J650" s="1367"/>
      <c r="K650" s="1367"/>
      <c r="L650" s="1367"/>
      <c r="M650" s="1367"/>
      <c r="N650" s="1367"/>
      <c r="O650" s="1367"/>
      <c r="P650" s="1367"/>
      <c r="Q650" s="1367"/>
      <c r="R650" s="1367"/>
      <c r="T650" s="22"/>
      <c r="U650" t="s">
        <v>17</v>
      </c>
      <c r="Z650" s="1367"/>
      <c r="AA650" s="1367"/>
      <c r="AB650" s="1367"/>
      <c r="AC650" s="1367"/>
      <c r="AD650" s="1367"/>
      <c r="AE650" s="1367"/>
      <c r="AF650" s="1367"/>
      <c r="AG650" s="1367"/>
      <c r="AH650" s="1367"/>
      <c r="AI650" s="1367"/>
      <c r="AJ650" s="1367"/>
      <c r="AK650" s="1367"/>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 customHeight="1">
      <c r="A651" s="22"/>
      <c r="B651" t="s">
        <v>318</v>
      </c>
      <c r="G651" s="1436" t="s">
        <v>2645</v>
      </c>
      <c r="H651" s="1436"/>
      <c r="I651" s="1436"/>
      <c r="J651" s="1436"/>
      <c r="K651" s="1436"/>
      <c r="L651" s="1436"/>
      <c r="O651" s="33" t="s">
        <v>208</v>
      </c>
      <c r="P651" s="1462"/>
      <c r="Q651" s="1462"/>
      <c r="R651" s="1462"/>
      <c r="T651" s="22"/>
      <c r="U651" t="s">
        <v>318</v>
      </c>
      <c r="Z651" s="1436"/>
      <c r="AA651" s="1436"/>
      <c r="AB651" s="1436"/>
      <c r="AC651" s="1436"/>
      <c r="AD651" s="1436"/>
      <c r="AE651" s="1436"/>
      <c r="AH651" s="33" t="s">
        <v>208</v>
      </c>
      <c r="AI651" s="1462"/>
      <c r="AJ651" s="1462"/>
      <c r="AK651" s="1462"/>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 customHeight="1">
      <c r="A652" s="22"/>
      <c r="B652" t="s">
        <v>18</v>
      </c>
      <c r="H652" s="1510" t="s">
        <v>1920</v>
      </c>
      <c r="I652" s="1395"/>
      <c r="J652" s="1395"/>
      <c r="K652" s="1395"/>
      <c r="L652" s="1395"/>
      <c r="M652" s="1395"/>
      <c r="N652" s="1395"/>
      <c r="O652" s="1395"/>
      <c r="P652" s="1395"/>
      <c r="Q652" s="1395"/>
      <c r="R652" s="1395"/>
      <c r="T652" s="22"/>
      <c r="U652" t="s">
        <v>18</v>
      </c>
      <c r="AA652" s="1395"/>
      <c r="AB652" s="1395"/>
      <c r="AC652" s="1395"/>
      <c r="AD652" s="1395"/>
      <c r="AE652" s="1395"/>
      <c r="AF652" s="1395"/>
      <c r="AG652" s="1395"/>
      <c r="AH652" s="1395"/>
      <c r="AI652" s="1395"/>
      <c r="AJ652" s="1395"/>
      <c r="AK652" s="1395"/>
      <c r="AZ652" s="3"/>
      <c r="BA652" s="3"/>
      <c r="BB652" s="3"/>
      <c r="BC652" s="3"/>
      <c r="BD652" s="3"/>
      <c r="BE652" s="3"/>
      <c r="BF652" s="3"/>
      <c r="BG652" s="3"/>
      <c r="BH652" s="3"/>
      <c r="BI652" s="3"/>
      <c r="BJ652" s="3"/>
      <c r="BK652" s="3"/>
      <c r="BL652" s="3"/>
      <c r="BM652" s="3"/>
      <c r="BN652" s="3"/>
      <c r="BO652" s="3"/>
      <c r="BP652" s="207" t="s">
        <v>2621</v>
      </c>
      <c r="BQ652" s="208"/>
      <c r="BR652" s="208"/>
      <c r="BS652" s="208"/>
      <c r="BT652" s="208"/>
      <c r="BU652" s="208"/>
      <c r="BV652" s="208"/>
      <c r="BW652" s="3"/>
      <c r="BX652" s="207" t="s">
        <v>2620</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 customHeight="1">
      <c r="A653" s="22"/>
      <c r="B653" t="s">
        <v>20</v>
      </c>
      <c r="N653" s="1700" t="s">
        <v>555</v>
      </c>
      <c r="O653" s="1374"/>
      <c r="T653" s="22"/>
      <c r="U653" t="s">
        <v>20</v>
      </c>
      <c r="AG653" s="1374" t="s">
        <v>679</v>
      </c>
      <c r="AH653" s="1374"/>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2313</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 customHeight="1" thickBot="1">
      <c r="A655" s="55" t="s">
        <v>788</v>
      </c>
      <c r="B655" t="s">
        <v>473</v>
      </c>
      <c r="G655" s="1511">
        <f>C627</f>
        <v>0</v>
      </c>
      <c r="H655" s="1511"/>
      <c r="I655" s="1511"/>
      <c r="J655" s="1511"/>
      <c r="K655" s="1511"/>
      <c r="L655" s="1511"/>
      <c r="M655" s="1511"/>
      <c r="N655" s="1511"/>
      <c r="O655" s="1511"/>
      <c r="P655" s="1511"/>
      <c r="Q655" s="1511"/>
      <c r="R655" s="1511"/>
      <c r="T655" s="55" t="s">
        <v>594</v>
      </c>
      <c r="U655" t="s">
        <v>473</v>
      </c>
      <c r="Z655" s="1511">
        <f>C628</f>
        <v>0</v>
      </c>
      <c r="AA655" s="1511"/>
      <c r="AB655" s="1511"/>
      <c r="AC655" s="1511"/>
      <c r="AD655" s="1511"/>
      <c r="AE655" s="1511"/>
      <c r="AF655" s="1511"/>
      <c r="AG655" s="1511"/>
      <c r="AH655" s="1511"/>
      <c r="AI655" s="1511"/>
      <c r="AJ655" s="1511"/>
      <c r="AK655" s="1511"/>
      <c r="AZ655" s="3"/>
      <c r="BA655" s="166" t="s">
        <v>659</v>
      </c>
      <c r="BB655" s="3"/>
      <c r="BC655" s="3"/>
      <c r="BD655" s="3"/>
      <c r="BE655" s="3"/>
      <c r="BF655" s="218"/>
      <c r="BG655" s="219" t="s">
        <v>928</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 customHeight="1">
      <c r="A656" s="22"/>
      <c r="B656" t="s">
        <v>86</v>
      </c>
      <c r="G656" s="1395"/>
      <c r="H656" s="1395"/>
      <c r="I656" s="1395"/>
      <c r="J656" s="1395"/>
      <c r="K656" s="1395"/>
      <c r="L656" s="1395"/>
      <c r="M656" s="1395"/>
      <c r="N656" s="1395"/>
      <c r="O656" s="1395"/>
      <c r="P656" s="1395"/>
      <c r="Q656" s="1395"/>
      <c r="R656" s="1395"/>
      <c r="T656" s="22"/>
      <c r="U656" t="s">
        <v>86</v>
      </c>
      <c r="Z656" s="1395"/>
      <c r="AA656" s="1395"/>
      <c r="AB656" s="1395"/>
      <c r="AC656" s="1395"/>
      <c r="AD656" s="1395"/>
      <c r="AE656" s="1395"/>
      <c r="AF656" s="1395"/>
      <c r="AG656" s="1395"/>
      <c r="AH656" s="1395"/>
      <c r="AI656" s="1395"/>
      <c r="AJ656" s="1395"/>
      <c r="AK656" s="1395"/>
      <c r="AZ656" s="3"/>
      <c r="BA656" s="118">
        <f t="shared" ref="BA656:BA680" si="42">IF($G714=0,"N/A",VLOOKUP($T$189,TC_Rent,(MATCH($B714,bedrooms,FALSE))))</f>
        <v>2584</v>
      </c>
      <c r="BB656" s="3"/>
      <c r="BC656" s="3"/>
      <c r="BD656" s="3"/>
      <c r="BE656" s="3"/>
      <c r="BF656" s="218"/>
      <c r="BG656" s="313" t="s">
        <v>929</v>
      </c>
      <c r="BH656" s="318" t="s">
        <v>930</v>
      </c>
      <c r="BI656" s="317" t="s">
        <v>931</v>
      </c>
      <c r="BJ656" s="3"/>
      <c r="BK656" s="3"/>
      <c r="BL656" s="3"/>
      <c r="BM656" s="3"/>
      <c r="BN656" s="3"/>
      <c r="BO656" s="3"/>
      <c r="BP656" s="378" t="s">
        <v>486</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 customHeight="1">
      <c r="A657" s="22"/>
      <c r="B657" t="s">
        <v>590</v>
      </c>
      <c r="G657" s="1395"/>
      <c r="H657" s="1395"/>
      <c r="I657" s="1395"/>
      <c r="J657" s="1395"/>
      <c r="K657" s="1395"/>
      <c r="L657" s="1395"/>
      <c r="M657" s="1395"/>
      <c r="N657" s="1395"/>
      <c r="O657" s="1395"/>
      <c r="P657" s="1395"/>
      <c r="Q657" s="1395"/>
      <c r="R657" s="1395"/>
      <c r="T657" s="22"/>
      <c r="U657" t="s">
        <v>590</v>
      </c>
      <c r="Z657" s="1367"/>
      <c r="AA657" s="1367"/>
      <c r="AB657" s="1367"/>
      <c r="AC657" s="1367"/>
      <c r="AD657" s="1367"/>
      <c r="AE657" s="1367"/>
      <c r="AF657" s="1367"/>
      <c r="AG657" s="1367"/>
      <c r="AH657" s="1367"/>
      <c r="AI657" s="1367"/>
      <c r="AJ657" s="1367"/>
      <c r="AK657" s="1367"/>
      <c r="AZ657" s="3"/>
      <c r="BA657" s="118">
        <f t="shared" si="42"/>
        <v>2584</v>
      </c>
      <c r="BB657" s="3"/>
      <c r="BC657" s="3"/>
      <c r="BD657" s="3"/>
      <c r="BE657" s="3"/>
      <c r="BF657" s="218"/>
      <c r="BG657" s="315">
        <f t="shared" ref="BG657:BG681" si="43">G714</f>
        <v>11</v>
      </c>
      <c r="BH657" s="319">
        <f>BG657/$BG$682</f>
        <v>4.8672566371681415E-2</v>
      </c>
      <c r="BI657" s="320">
        <f t="shared" ref="BI657:BI681" si="44">IF(BH657=0," ",BH657*AC714)</f>
        <v>1.4601769911504425E-2</v>
      </c>
      <c r="BJ657" s="3"/>
      <c r="BK657" s="3"/>
      <c r="BL657" s="3"/>
      <c r="BM657" s="3"/>
      <c r="BN657" s="3"/>
      <c r="BO657" s="3"/>
      <c r="BP657" s="379" t="s">
        <v>487</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 customHeight="1">
      <c r="A658" s="22"/>
      <c r="B658" t="s">
        <v>17</v>
      </c>
      <c r="G658" s="1395"/>
      <c r="H658" s="1395"/>
      <c r="I658" s="1395"/>
      <c r="J658" s="1395"/>
      <c r="K658" s="1395"/>
      <c r="L658" s="1395"/>
      <c r="M658" s="1395"/>
      <c r="N658" s="1395"/>
      <c r="O658" s="1395"/>
      <c r="P658" s="1395"/>
      <c r="Q658" s="1395"/>
      <c r="R658" s="1395"/>
      <c r="T658" s="22"/>
      <c r="U658" t="s">
        <v>17</v>
      </c>
      <c r="Z658" s="1367"/>
      <c r="AA658" s="1367"/>
      <c r="AB658" s="1367"/>
      <c r="AC658" s="1367"/>
      <c r="AD658" s="1367"/>
      <c r="AE658" s="1367"/>
      <c r="AF658" s="1367"/>
      <c r="AG658" s="1367"/>
      <c r="AH658" s="1367"/>
      <c r="AI658" s="1367"/>
      <c r="AJ658" s="1367"/>
      <c r="AK658" s="1367"/>
      <c r="AZ658" s="3"/>
      <c r="BA658" s="118">
        <f t="shared" si="42"/>
        <v>2584</v>
      </c>
      <c r="BB658" s="3"/>
      <c r="BC658" s="3"/>
      <c r="BD658" s="3"/>
      <c r="BE658" s="3"/>
      <c r="BF658" s="218"/>
      <c r="BG658" s="316">
        <f t="shared" si="43"/>
        <v>11</v>
      </c>
      <c r="BH658" s="319">
        <f t="shared" ref="BH658:BH681" si="45">BG658/$BG$682</f>
        <v>4.8672566371681415E-2</v>
      </c>
      <c r="BI658" s="320">
        <f t="shared" si="44"/>
        <v>2.4336283185840708E-2</v>
      </c>
      <c r="BJ658" s="3"/>
      <c r="BK658" s="3"/>
      <c r="BL658" s="3"/>
      <c r="BM658" s="3"/>
      <c r="BN658" s="3"/>
      <c r="BO658" s="3"/>
      <c r="BP658" s="379" t="s">
        <v>488</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 customHeight="1">
      <c r="A659" s="22"/>
      <c r="B659" t="s">
        <v>318</v>
      </c>
      <c r="G659" s="1436"/>
      <c r="H659" s="1436"/>
      <c r="I659" s="1436"/>
      <c r="J659" s="1436"/>
      <c r="K659" s="1436"/>
      <c r="L659" s="1436"/>
      <c r="O659" s="33" t="s">
        <v>208</v>
      </c>
      <c r="P659" s="1462"/>
      <c r="Q659" s="1462"/>
      <c r="R659" s="1462"/>
      <c r="T659" s="22"/>
      <c r="U659" t="s">
        <v>318</v>
      </c>
      <c r="Z659" s="1436"/>
      <c r="AA659" s="1436"/>
      <c r="AB659" s="1436"/>
      <c r="AC659" s="1436"/>
      <c r="AD659" s="1436"/>
      <c r="AE659" s="1436"/>
      <c r="AH659" s="33" t="s">
        <v>208</v>
      </c>
      <c r="AI659" s="1462"/>
      <c r="AJ659" s="1462"/>
      <c r="AK659" s="1462"/>
      <c r="AZ659" s="3"/>
      <c r="BA659" s="118">
        <f t="shared" si="42"/>
        <v>3102</v>
      </c>
      <c r="BB659" s="3"/>
      <c r="BC659" s="3"/>
      <c r="BD659" s="3"/>
      <c r="BE659" s="3"/>
      <c r="BF659" s="218"/>
      <c r="BG659" s="316">
        <f t="shared" si="43"/>
        <v>83</v>
      </c>
      <c r="BH659" s="319">
        <f t="shared" si="45"/>
        <v>0.36725663716814161</v>
      </c>
      <c r="BI659" s="320">
        <f t="shared" si="44"/>
        <v>0.22035398230088496</v>
      </c>
      <c r="BJ659" s="3"/>
      <c r="BK659" s="3"/>
      <c r="BL659" s="3"/>
      <c r="BM659" s="3"/>
      <c r="BN659" s="3"/>
      <c r="BO659" s="3"/>
      <c r="BP659" s="379" t="s">
        <v>489</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 customHeight="1">
      <c r="A660" s="22"/>
      <c r="B660" t="s">
        <v>18</v>
      </c>
      <c r="H660" s="1395"/>
      <c r="I660" s="1395"/>
      <c r="J660" s="1395"/>
      <c r="K660" s="1395"/>
      <c r="L660" s="1395"/>
      <c r="M660" s="1395"/>
      <c r="N660" s="1395"/>
      <c r="O660" s="1395"/>
      <c r="P660" s="1395"/>
      <c r="Q660" s="1395"/>
      <c r="R660" s="1395"/>
      <c r="T660" s="22"/>
      <c r="U660" t="s">
        <v>18</v>
      </c>
      <c r="AA660" s="1395"/>
      <c r="AB660" s="1395"/>
      <c r="AC660" s="1395"/>
      <c r="AD660" s="1395"/>
      <c r="AE660" s="1395"/>
      <c r="AF660" s="1395"/>
      <c r="AG660" s="1395"/>
      <c r="AH660" s="1395"/>
      <c r="AI660" s="1395"/>
      <c r="AJ660" s="1395"/>
      <c r="AK660" s="1395"/>
      <c r="AZ660" s="3"/>
      <c r="BA660" s="118">
        <f t="shared" si="42"/>
        <v>3102</v>
      </c>
      <c r="BB660" s="3"/>
      <c r="BC660" s="3"/>
      <c r="BD660" s="3"/>
      <c r="BE660" s="3"/>
      <c r="BF660" s="218"/>
      <c r="BG660" s="316">
        <f t="shared" si="43"/>
        <v>7</v>
      </c>
      <c r="BH660" s="319">
        <f t="shared" si="45"/>
        <v>3.0973451327433628E-2</v>
      </c>
      <c r="BI660" s="320">
        <f t="shared" si="44"/>
        <v>9.2920353982300884E-3</v>
      </c>
      <c r="BJ660" s="3"/>
      <c r="BK660" s="3"/>
      <c r="BL660" s="3"/>
      <c r="BM660" s="3"/>
      <c r="BN660" s="3"/>
      <c r="BO660" s="3"/>
      <c r="BP660" s="379" t="s">
        <v>490</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 customHeight="1">
      <c r="A661" s="22"/>
      <c r="B661" t="s">
        <v>20</v>
      </c>
      <c r="N661" s="1374" t="s">
        <v>679</v>
      </c>
      <c r="O661" s="1374"/>
      <c r="T661" s="22"/>
      <c r="U661" t="s">
        <v>20</v>
      </c>
      <c r="AG661" s="1374" t="s">
        <v>679</v>
      </c>
      <c r="AH661" s="1374"/>
      <c r="AZ661" s="3"/>
      <c r="BA661" s="118">
        <f t="shared" si="42"/>
        <v>3102</v>
      </c>
      <c r="BB661" s="3"/>
      <c r="BC661" s="3"/>
      <c r="BD661" s="3"/>
      <c r="BE661" s="3"/>
      <c r="BF661" s="218"/>
      <c r="BG661" s="316">
        <f t="shared" si="43"/>
        <v>7</v>
      </c>
      <c r="BH661" s="319">
        <f t="shared" si="45"/>
        <v>3.0973451327433628E-2</v>
      </c>
      <c r="BI661" s="320">
        <f t="shared" si="44"/>
        <v>1.5486725663716814E-2</v>
      </c>
      <c r="BJ661" s="3"/>
      <c r="BK661" s="3"/>
      <c r="BL661" s="3"/>
      <c r="BM661" s="3"/>
      <c r="BN661" s="3"/>
      <c r="BO661" s="3"/>
      <c r="BP661" s="379" t="s">
        <v>491</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 customHeight="1">
      <c r="A662" s="22"/>
      <c r="T662" s="22"/>
      <c r="AZ662" s="3"/>
      <c r="BA662" s="118">
        <f t="shared" si="42"/>
        <v>3582</v>
      </c>
      <c r="BB662" s="3"/>
      <c r="BC662" s="3"/>
      <c r="BD662" s="3"/>
      <c r="BE662" s="3"/>
      <c r="BF662" s="218"/>
      <c r="BG662" s="316">
        <f t="shared" si="43"/>
        <v>47</v>
      </c>
      <c r="BH662" s="319">
        <f t="shared" si="45"/>
        <v>0.20796460176991149</v>
      </c>
      <c r="BI662" s="320">
        <f t="shared" si="44"/>
        <v>0.12477876106194689</v>
      </c>
      <c r="BJ662" s="3"/>
      <c r="BK662" s="3"/>
      <c r="BL662" s="3"/>
      <c r="BM662" s="3"/>
      <c r="BN662" s="3"/>
      <c r="BO662" s="3"/>
      <c r="BP662" s="379" t="s">
        <v>492</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 customHeight="1">
      <c r="A663" s="55" t="s">
        <v>465</v>
      </c>
      <c r="B663" t="s">
        <v>473</v>
      </c>
      <c r="G663" s="1511">
        <f>C629</f>
        <v>0</v>
      </c>
      <c r="H663" s="1511"/>
      <c r="I663" s="1511"/>
      <c r="J663" s="1511"/>
      <c r="K663" s="1511"/>
      <c r="L663" s="1511"/>
      <c r="M663" s="1511"/>
      <c r="N663" s="1511"/>
      <c r="O663" s="1511"/>
      <c r="P663" s="1511"/>
      <c r="Q663" s="1511"/>
      <c r="R663" s="1511"/>
      <c r="T663" s="55" t="s">
        <v>466</v>
      </c>
      <c r="U663" t="s">
        <v>473</v>
      </c>
      <c r="Z663" s="1511">
        <f>C630</f>
        <v>0</v>
      </c>
      <c r="AA663" s="1511"/>
      <c r="AB663" s="1511"/>
      <c r="AC663" s="1511"/>
      <c r="AD663" s="1511"/>
      <c r="AE663" s="1511"/>
      <c r="AF663" s="1511"/>
      <c r="AG663" s="1511"/>
      <c r="AH663" s="1511"/>
      <c r="AI663" s="1511"/>
      <c r="AJ663" s="1511"/>
      <c r="AK663" s="1511"/>
      <c r="AZ663" s="3"/>
      <c r="BA663" s="118">
        <f t="shared" si="42"/>
        <v>3582</v>
      </c>
      <c r="BB663" s="3"/>
      <c r="BC663" s="3"/>
      <c r="BD663" s="3"/>
      <c r="BE663" s="3"/>
      <c r="BF663" s="218"/>
      <c r="BG663" s="316">
        <f t="shared" si="43"/>
        <v>6</v>
      </c>
      <c r="BH663" s="319">
        <f t="shared" si="45"/>
        <v>2.6548672566371681E-2</v>
      </c>
      <c r="BI663" s="320">
        <f t="shared" si="44"/>
        <v>7.9646017699115043E-3</v>
      </c>
      <c r="BJ663" s="3"/>
      <c r="BK663" s="3"/>
      <c r="BL663" s="3"/>
      <c r="BM663" s="3"/>
      <c r="BN663" s="3"/>
      <c r="BO663" s="3"/>
      <c r="BP663" s="379" t="s">
        <v>493</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 customHeight="1">
      <c r="A664" s="22"/>
      <c r="B664" t="s">
        <v>86</v>
      </c>
      <c r="G664" s="1395"/>
      <c r="H664" s="1395"/>
      <c r="I664" s="1395"/>
      <c r="J664" s="1395"/>
      <c r="K664" s="1395"/>
      <c r="L664" s="1395"/>
      <c r="M664" s="1395"/>
      <c r="N664" s="1395"/>
      <c r="O664" s="1395"/>
      <c r="P664" s="1395"/>
      <c r="Q664" s="1395"/>
      <c r="R664" s="1395"/>
      <c r="T664" s="22"/>
      <c r="U664" t="s">
        <v>86</v>
      </c>
      <c r="Z664" s="1395"/>
      <c r="AA664" s="1395"/>
      <c r="AB664" s="1395"/>
      <c r="AC664" s="1395"/>
      <c r="AD664" s="1395"/>
      <c r="AE664" s="1395"/>
      <c r="AF664" s="1395"/>
      <c r="AG664" s="1395"/>
      <c r="AH664" s="1395"/>
      <c r="AI664" s="1395"/>
      <c r="AJ664" s="1395"/>
      <c r="AK664" s="1395"/>
      <c r="AZ664" s="3"/>
      <c r="BA664" s="118">
        <f t="shared" si="42"/>
        <v>3582</v>
      </c>
      <c r="BB664" s="3"/>
      <c r="BC664" s="3"/>
      <c r="BD664" s="3"/>
      <c r="BE664" s="3"/>
      <c r="BF664" s="218"/>
      <c r="BG664" s="316">
        <f t="shared" si="43"/>
        <v>6</v>
      </c>
      <c r="BH664" s="319">
        <f t="shared" si="45"/>
        <v>2.6548672566371681E-2</v>
      </c>
      <c r="BI664" s="320">
        <f t="shared" si="44"/>
        <v>1.3274336283185841E-2</v>
      </c>
      <c r="BJ664" s="3"/>
      <c r="BK664" s="3"/>
      <c r="BL664" s="3"/>
      <c r="BM664" s="3"/>
      <c r="BN664" s="3"/>
      <c r="BO664" s="3"/>
      <c r="BP664" s="379" t="s">
        <v>494</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 customHeight="1">
      <c r="A665" s="22"/>
      <c r="B665" t="s">
        <v>590</v>
      </c>
      <c r="G665" s="1395"/>
      <c r="H665" s="1395"/>
      <c r="I665" s="1395"/>
      <c r="J665" s="1395"/>
      <c r="K665" s="1395"/>
      <c r="L665" s="1395"/>
      <c r="M665" s="1395"/>
      <c r="N665" s="1395"/>
      <c r="O665" s="1395"/>
      <c r="P665" s="1395"/>
      <c r="Q665" s="1395"/>
      <c r="R665" s="1395"/>
      <c r="T665" s="22"/>
      <c r="U665" t="s">
        <v>590</v>
      </c>
      <c r="Z665" s="1367"/>
      <c r="AA665" s="1367"/>
      <c r="AB665" s="1367"/>
      <c r="AC665" s="1367"/>
      <c r="AD665" s="1367"/>
      <c r="AE665" s="1367"/>
      <c r="AF665" s="1367"/>
      <c r="AG665" s="1367"/>
      <c r="AH665" s="1367"/>
      <c r="AI665" s="1367"/>
      <c r="AJ665" s="1367"/>
      <c r="AK665" s="1367"/>
      <c r="AZ665" s="3"/>
      <c r="BA665" s="118" t="str">
        <f t="shared" si="42"/>
        <v>N/A</v>
      </c>
      <c r="BB665" s="3"/>
      <c r="BC665" s="3"/>
      <c r="BD665" s="3"/>
      <c r="BE665" s="3"/>
      <c r="BF665" s="218"/>
      <c r="BG665" s="316">
        <f t="shared" si="43"/>
        <v>48</v>
      </c>
      <c r="BH665" s="319">
        <f t="shared" si="45"/>
        <v>0.21238938053097345</v>
      </c>
      <c r="BI665" s="320">
        <f t="shared" si="44"/>
        <v>0.12743362831858407</v>
      </c>
      <c r="BJ665" s="3"/>
      <c r="BK665" s="3"/>
      <c r="BL665" s="3"/>
      <c r="BM665" s="3"/>
      <c r="BN665" s="3"/>
      <c r="BO665" s="3"/>
      <c r="BP665" s="379" t="s">
        <v>495</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 customHeight="1">
      <c r="A666" s="22"/>
      <c r="B666" t="s">
        <v>17</v>
      </c>
      <c r="G666" s="1395"/>
      <c r="H666" s="1395"/>
      <c r="I666" s="1395"/>
      <c r="J666" s="1395"/>
      <c r="K666" s="1395"/>
      <c r="L666" s="1395"/>
      <c r="M666" s="1395"/>
      <c r="N666" s="1395"/>
      <c r="O666" s="1395"/>
      <c r="P666" s="1395"/>
      <c r="Q666" s="1395"/>
      <c r="R666" s="1395"/>
      <c r="T666" s="22"/>
      <c r="U666" t="s">
        <v>17</v>
      </c>
      <c r="Z666" s="1367"/>
      <c r="AA666" s="1367"/>
      <c r="AB666" s="1367"/>
      <c r="AC666" s="1367"/>
      <c r="AD666" s="1367"/>
      <c r="AE666" s="1367"/>
      <c r="AF666" s="1367"/>
      <c r="AG666" s="1367"/>
      <c r="AH666" s="1367"/>
      <c r="AI666" s="1367"/>
      <c r="AJ666" s="1367"/>
      <c r="AK666" s="1367"/>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496</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 customHeight="1">
      <c r="A667" s="22"/>
      <c r="B667" t="s">
        <v>318</v>
      </c>
      <c r="G667" s="1436"/>
      <c r="H667" s="1436"/>
      <c r="I667" s="1436"/>
      <c r="J667" s="1436"/>
      <c r="K667" s="1436"/>
      <c r="L667" s="1436"/>
      <c r="O667" s="33" t="s">
        <v>208</v>
      </c>
      <c r="P667" s="1462"/>
      <c r="Q667" s="1462"/>
      <c r="R667" s="1462"/>
      <c r="T667" s="22"/>
      <c r="U667" t="s">
        <v>318</v>
      </c>
      <c r="Z667" s="1436"/>
      <c r="AA667" s="1436"/>
      <c r="AB667" s="1436"/>
      <c r="AC667" s="1436"/>
      <c r="AD667" s="1436"/>
      <c r="AE667" s="1436"/>
      <c r="AH667" s="33" t="s">
        <v>208</v>
      </c>
      <c r="AI667" s="1462"/>
      <c r="AJ667" s="1462"/>
      <c r="AK667" s="1462"/>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497</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 customHeight="1">
      <c r="A668" s="22"/>
      <c r="B668" t="s">
        <v>18</v>
      </c>
      <c r="H668" s="1395"/>
      <c r="I668" s="1395"/>
      <c r="J668" s="1395"/>
      <c r="K668" s="1395"/>
      <c r="L668" s="1395"/>
      <c r="M668" s="1395"/>
      <c r="N668" s="1395"/>
      <c r="O668" s="1395"/>
      <c r="P668" s="1395"/>
      <c r="Q668" s="1395"/>
      <c r="R668" s="1395"/>
      <c r="T668" s="22"/>
      <c r="U668" t="s">
        <v>18</v>
      </c>
      <c r="AA668" s="1395"/>
      <c r="AB668" s="1395"/>
      <c r="AC668" s="1395"/>
      <c r="AD668" s="1395"/>
      <c r="AE668" s="1395"/>
      <c r="AF668" s="1395"/>
      <c r="AG668" s="1395"/>
      <c r="AH668" s="1395"/>
      <c r="AI668" s="1395"/>
      <c r="AJ668" s="1395"/>
      <c r="AK668" s="1395"/>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498</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 customHeight="1">
      <c r="A669" s="22"/>
      <c r="B669" t="s">
        <v>20</v>
      </c>
      <c r="N669" s="1374" t="s">
        <v>679</v>
      </c>
      <c r="O669" s="1374"/>
      <c r="T669" s="22"/>
      <c r="U669" t="s">
        <v>20</v>
      </c>
      <c r="AG669" s="1374" t="s">
        <v>679</v>
      </c>
      <c r="AH669" s="1374"/>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499</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500</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 customHeight="1">
      <c r="A671" s="55" t="s">
        <v>471</v>
      </c>
      <c r="B671" t="s">
        <v>473</v>
      </c>
      <c r="G671" s="1511">
        <f>C631</f>
        <v>0</v>
      </c>
      <c r="H671" s="1511"/>
      <c r="I671" s="1511"/>
      <c r="J671" s="1511"/>
      <c r="K671" s="1511"/>
      <c r="L671" s="1511"/>
      <c r="M671" s="1511"/>
      <c r="N671" s="1511"/>
      <c r="O671" s="1511"/>
      <c r="P671" s="1511"/>
      <c r="Q671" s="1511"/>
      <c r="R671" s="1511"/>
      <c r="T671" s="55" t="s">
        <v>656</v>
      </c>
      <c r="U671" t="s">
        <v>473</v>
      </c>
      <c r="Z671" s="1511">
        <f>C632</f>
        <v>0</v>
      </c>
      <c r="AA671" s="1511"/>
      <c r="AB671" s="1511"/>
      <c r="AC671" s="1511"/>
      <c r="AD671" s="1511"/>
      <c r="AE671" s="1511"/>
      <c r="AF671" s="1511"/>
      <c r="AG671" s="1511"/>
      <c r="AH671" s="1511"/>
      <c r="AI671" s="1511"/>
      <c r="AJ671" s="1511"/>
      <c r="AK671" s="1511"/>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501</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 customHeight="1">
      <c r="A672" s="22"/>
      <c r="B672" t="s">
        <v>86</v>
      </c>
      <c r="G672" s="1395"/>
      <c r="H672" s="1395"/>
      <c r="I672" s="1395"/>
      <c r="J672" s="1395"/>
      <c r="K672" s="1395"/>
      <c r="L672" s="1395"/>
      <c r="M672" s="1395"/>
      <c r="N672" s="1395"/>
      <c r="O672" s="1395"/>
      <c r="P672" s="1395"/>
      <c r="Q672" s="1395"/>
      <c r="R672" s="1395"/>
      <c r="T672" s="22"/>
      <c r="U672" t="s">
        <v>86</v>
      </c>
      <c r="Z672" s="1395"/>
      <c r="AA672" s="1395"/>
      <c r="AB672" s="1395"/>
      <c r="AC672" s="1395"/>
      <c r="AD672" s="1395"/>
      <c r="AE672" s="1395"/>
      <c r="AF672" s="1395"/>
      <c r="AG672" s="1395"/>
      <c r="AH672" s="1395"/>
      <c r="AI672" s="1395"/>
      <c r="AJ672" s="1395"/>
      <c r="AK672" s="1395"/>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502</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 customHeight="1">
      <c r="A673" s="22"/>
      <c r="B673" t="s">
        <v>590</v>
      </c>
      <c r="G673" s="1395"/>
      <c r="H673" s="1395"/>
      <c r="I673" s="1395"/>
      <c r="J673" s="1395"/>
      <c r="K673" s="1395"/>
      <c r="L673" s="1395"/>
      <c r="M673" s="1395"/>
      <c r="N673" s="1395"/>
      <c r="O673" s="1395"/>
      <c r="P673" s="1395"/>
      <c r="Q673" s="1395"/>
      <c r="R673" s="1395"/>
      <c r="T673" s="22"/>
      <c r="U673" t="s">
        <v>590</v>
      </c>
      <c r="Z673" s="1367"/>
      <c r="AA673" s="1367"/>
      <c r="AB673" s="1367"/>
      <c r="AC673" s="1367"/>
      <c r="AD673" s="1367"/>
      <c r="AE673" s="1367"/>
      <c r="AF673" s="1367"/>
      <c r="AG673" s="1367"/>
      <c r="AH673" s="1367"/>
      <c r="AI673" s="1367"/>
      <c r="AJ673" s="1367"/>
      <c r="AK673" s="1367"/>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 customHeight="1">
      <c r="A674" s="22"/>
      <c r="B674" t="s">
        <v>17</v>
      </c>
      <c r="G674" s="1395"/>
      <c r="H674" s="1395"/>
      <c r="I674" s="1395"/>
      <c r="J674" s="1395"/>
      <c r="K674" s="1395"/>
      <c r="L674" s="1395"/>
      <c r="M674" s="1395"/>
      <c r="N674" s="1395"/>
      <c r="O674" s="1395"/>
      <c r="P674" s="1395"/>
      <c r="Q674" s="1395"/>
      <c r="R674" s="1395"/>
      <c r="T674" s="22"/>
      <c r="U674" t="s">
        <v>17</v>
      </c>
      <c r="Z674" s="1367"/>
      <c r="AA674" s="1367"/>
      <c r="AB674" s="1367"/>
      <c r="AC674" s="1367"/>
      <c r="AD674" s="1367"/>
      <c r="AE674" s="1367"/>
      <c r="AF674" s="1367"/>
      <c r="AG674" s="1367"/>
      <c r="AH674" s="1367"/>
      <c r="AI674" s="1367"/>
      <c r="AJ674" s="1367"/>
      <c r="AK674" s="1367"/>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 customHeight="1">
      <c r="A675" s="22"/>
      <c r="B675" t="s">
        <v>318</v>
      </c>
      <c r="G675" s="1436"/>
      <c r="H675" s="1436"/>
      <c r="I675" s="1436"/>
      <c r="J675" s="1436"/>
      <c r="K675" s="1436"/>
      <c r="L675" s="1436"/>
      <c r="O675" s="33" t="s">
        <v>208</v>
      </c>
      <c r="P675" s="1462"/>
      <c r="Q675" s="1462"/>
      <c r="R675" s="1462"/>
      <c r="T675" s="22"/>
      <c r="U675" t="s">
        <v>318</v>
      </c>
      <c r="Z675" s="1436"/>
      <c r="AA675" s="1436"/>
      <c r="AB675" s="1436"/>
      <c r="AC675" s="1436"/>
      <c r="AD675" s="1436"/>
      <c r="AE675" s="1436"/>
      <c r="AH675" s="33" t="s">
        <v>208</v>
      </c>
      <c r="AI675" s="1462"/>
      <c r="AJ675" s="1462"/>
      <c r="AK675" s="1462"/>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 customHeight="1">
      <c r="A676" s="22"/>
      <c r="B676" t="s">
        <v>18</v>
      </c>
      <c r="H676" s="1395"/>
      <c r="I676" s="1395"/>
      <c r="J676" s="1395"/>
      <c r="K676" s="1395"/>
      <c r="L676" s="1395"/>
      <c r="M676" s="1395"/>
      <c r="N676" s="1395"/>
      <c r="O676" s="1395"/>
      <c r="P676" s="1395"/>
      <c r="Q676" s="1395"/>
      <c r="R676" s="1395"/>
      <c r="T676" s="22"/>
      <c r="U676" t="s">
        <v>18</v>
      </c>
      <c r="AA676" s="1395"/>
      <c r="AB676" s="1395"/>
      <c r="AC676" s="1395"/>
      <c r="AD676" s="1395"/>
      <c r="AE676" s="1395"/>
      <c r="AF676" s="1395"/>
      <c r="AG676" s="1395"/>
      <c r="AH676" s="1395"/>
      <c r="AI676" s="1395"/>
      <c r="AJ676" s="1395"/>
      <c r="AK676" s="1395"/>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 customHeight="1">
      <c r="A677" s="22"/>
      <c r="B677" t="s">
        <v>20</v>
      </c>
      <c r="N677" s="1374" t="s">
        <v>679</v>
      </c>
      <c r="O677" s="1374"/>
      <c r="T677" s="22"/>
      <c r="U677" t="s">
        <v>20</v>
      </c>
      <c r="AG677" s="1374" t="s">
        <v>679</v>
      </c>
      <c r="AH677" s="1374"/>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 customHeight="1">
      <c r="A679" s="55" t="s">
        <v>364</v>
      </c>
      <c r="B679" t="s">
        <v>473</v>
      </c>
      <c r="G679" s="1511">
        <f>C633</f>
        <v>0</v>
      </c>
      <c r="H679" s="1511"/>
      <c r="I679" s="1511"/>
      <c r="J679" s="1511"/>
      <c r="K679" s="1511"/>
      <c r="L679" s="1511"/>
      <c r="M679" s="1511"/>
      <c r="N679" s="1511"/>
      <c r="O679" s="1511"/>
      <c r="P679" s="1511"/>
      <c r="Q679" s="1511"/>
      <c r="R679" s="1511"/>
      <c r="T679" s="55" t="s">
        <v>365</v>
      </c>
      <c r="U679" t="s">
        <v>473</v>
      </c>
      <c r="Z679" s="1511">
        <f>C634</f>
        <v>0</v>
      </c>
      <c r="AA679" s="1511"/>
      <c r="AB679" s="1511"/>
      <c r="AC679" s="1511"/>
      <c r="AD679" s="1511"/>
      <c r="AE679" s="1511"/>
      <c r="AF679" s="1511"/>
      <c r="AG679" s="1511"/>
      <c r="AH679" s="1511"/>
      <c r="AI679" s="1511"/>
      <c r="AJ679" s="1511"/>
      <c r="AK679" s="1511"/>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 customHeight="1">
      <c r="B680" t="s">
        <v>86</v>
      </c>
      <c r="G680" s="1395"/>
      <c r="H680" s="1395"/>
      <c r="I680" s="1395"/>
      <c r="J680" s="1395"/>
      <c r="K680" s="1395"/>
      <c r="L680" s="1395"/>
      <c r="M680" s="1395"/>
      <c r="N680" s="1395"/>
      <c r="O680" s="1395"/>
      <c r="P680" s="1395"/>
      <c r="Q680" s="1395"/>
      <c r="R680" s="1395"/>
      <c r="T680" s="22"/>
      <c r="U680" t="s">
        <v>86</v>
      </c>
      <c r="Z680" s="1395"/>
      <c r="AA680" s="1395"/>
      <c r="AB680" s="1395"/>
      <c r="AC680" s="1395"/>
      <c r="AD680" s="1395"/>
      <c r="AE680" s="1395"/>
      <c r="AF680" s="1395"/>
      <c r="AG680" s="1395"/>
      <c r="AH680" s="1395"/>
      <c r="AI680" s="1395"/>
      <c r="AJ680" s="1395"/>
      <c r="AK680" s="1395"/>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 customHeight="1">
      <c r="B681" t="s">
        <v>590</v>
      </c>
      <c r="G681" s="1395"/>
      <c r="H681" s="1395"/>
      <c r="I681" s="1395"/>
      <c r="J681" s="1395"/>
      <c r="K681" s="1395"/>
      <c r="L681" s="1395"/>
      <c r="M681" s="1395"/>
      <c r="N681" s="1395"/>
      <c r="O681" s="1395"/>
      <c r="P681" s="1395"/>
      <c r="Q681" s="1395"/>
      <c r="R681" s="1395"/>
      <c r="U681" t="s">
        <v>590</v>
      </c>
      <c r="Z681" s="1367"/>
      <c r="AA681" s="1367"/>
      <c r="AB681" s="1367"/>
      <c r="AC681" s="1367"/>
      <c r="AD681" s="1367"/>
      <c r="AE681" s="1367"/>
      <c r="AF681" s="1367"/>
      <c r="AG681" s="1367"/>
      <c r="AH681" s="1367"/>
      <c r="AI681" s="1367"/>
      <c r="AJ681" s="1367"/>
      <c r="AK681" s="1367"/>
      <c r="AZ681" s="3"/>
      <c r="BA681" s="3"/>
      <c r="BB681" s="3"/>
      <c r="BC681" s="3"/>
      <c r="BF681" s="218"/>
      <c r="BG681" s="316">
        <f t="shared" si="43"/>
        <v>0</v>
      </c>
      <c r="BH681" s="319">
        <f t="shared" si="45"/>
        <v>0</v>
      </c>
      <c r="BI681" s="320" t="str">
        <f t="shared" si="44"/>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 customHeight="1">
      <c r="B682" t="s">
        <v>17</v>
      </c>
      <c r="G682" s="1395"/>
      <c r="H682" s="1395"/>
      <c r="I682" s="1395"/>
      <c r="J682" s="1395"/>
      <c r="K682" s="1395"/>
      <c r="L682" s="1395"/>
      <c r="M682" s="1395"/>
      <c r="N682" s="1395"/>
      <c r="O682" s="1395"/>
      <c r="P682" s="1395"/>
      <c r="Q682" s="1395"/>
      <c r="R682" s="1395"/>
      <c r="U682" t="s">
        <v>17</v>
      </c>
      <c r="Z682" s="1367"/>
      <c r="AA682" s="1367"/>
      <c r="AB682" s="1367"/>
      <c r="AC682" s="1367"/>
      <c r="AD682" s="1367"/>
      <c r="AE682" s="1367"/>
      <c r="AF682" s="1367"/>
      <c r="AG682" s="1367"/>
      <c r="AH682" s="1367"/>
      <c r="AI682" s="1367"/>
      <c r="AJ682" s="1367"/>
      <c r="AK682" s="1367"/>
      <c r="AZ682" s="3"/>
      <c r="BA682" s="3"/>
      <c r="BB682" s="3"/>
      <c r="BC682" s="3"/>
      <c r="BD682" s="3"/>
      <c r="BF682" s="312" t="s">
        <v>932</v>
      </c>
      <c r="BG682" s="321">
        <f>SUM(BG657:BG681)</f>
        <v>226</v>
      </c>
      <c r="BH682" s="322">
        <f>SUM(BH657:BH681)</f>
        <v>1</v>
      </c>
      <c r="BI682" s="322">
        <f>SUM(BI657:BI681)</f>
        <v>0.55752212389380529</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 customHeight="1">
      <c r="B683" t="s">
        <v>318</v>
      </c>
      <c r="G683" s="1436"/>
      <c r="H683" s="1436"/>
      <c r="I683" s="1436"/>
      <c r="J683" s="1436"/>
      <c r="K683" s="1436"/>
      <c r="L683" s="1436"/>
      <c r="O683" s="33" t="s">
        <v>208</v>
      </c>
      <c r="P683" s="1462"/>
      <c r="Q683" s="1462"/>
      <c r="R683" s="1462"/>
      <c r="U683" t="s">
        <v>318</v>
      </c>
      <c r="Z683" s="1436"/>
      <c r="AA683" s="1436"/>
      <c r="AB683" s="1436"/>
      <c r="AC683" s="1436"/>
      <c r="AD683" s="1436"/>
      <c r="AE683" s="1436"/>
      <c r="AH683" s="33" t="s">
        <v>208</v>
      </c>
      <c r="AI683" s="1462"/>
      <c r="AJ683" s="1462"/>
      <c r="AK683" s="1462"/>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 customHeight="1">
      <c r="B684" t="s">
        <v>18</v>
      </c>
      <c r="H684" s="1395"/>
      <c r="I684" s="1395"/>
      <c r="J684" s="1395"/>
      <c r="K684" s="1395"/>
      <c r="L684" s="1395"/>
      <c r="M684" s="1395"/>
      <c r="N684" s="1395"/>
      <c r="O684" s="1395"/>
      <c r="P684" s="1395"/>
      <c r="Q684" s="1395"/>
      <c r="R684" s="1395"/>
      <c r="U684" t="s">
        <v>18</v>
      </c>
      <c r="AA684" s="1395"/>
      <c r="AB684" s="1395"/>
      <c r="AC684" s="1395"/>
      <c r="AD684" s="1395"/>
      <c r="AE684" s="1395"/>
      <c r="AF684" s="1395"/>
      <c r="AG684" s="1395"/>
      <c r="AH684" s="1395"/>
      <c r="AI684" s="1395"/>
      <c r="AJ684" s="1395"/>
      <c r="AK684" s="1395"/>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 customHeight="1">
      <c r="B685" t="s">
        <v>20</v>
      </c>
      <c r="N685" s="1374" t="s">
        <v>679</v>
      </c>
      <c r="O685" s="1374"/>
      <c r="U685" t="s">
        <v>20</v>
      </c>
      <c r="AG685" s="1374" t="s">
        <v>679</v>
      </c>
      <c r="AH685" s="1374"/>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 customHeight="1">
      <c r="A687" s="2" t="s">
        <v>586</v>
      </c>
      <c r="C687" s="2" t="s">
        <v>329</v>
      </c>
      <c r="E687" s="130"/>
      <c r="F687" s="130"/>
      <c r="G687" s="130"/>
      <c r="H687" s="130"/>
      <c r="AZ687" s="34"/>
      <c r="BA687" s="34"/>
      <c r="BB687" s="34"/>
      <c r="BC687" s="34"/>
      <c r="BD687" s="34"/>
      <c r="BE687" s="34"/>
      <c r="BF687" s="34"/>
      <c r="BG687" s="219" t="s">
        <v>1804</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 customHeight="1">
      <c r="B688" s="135"/>
      <c r="C688" s="135"/>
      <c r="D688" s="136" t="s">
        <v>437</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 customHeight="1">
      <c r="B689" s="135"/>
      <c r="C689" s="135"/>
      <c r="E689" s="136" t="s">
        <v>438</v>
      </c>
      <c r="F689" s="135"/>
      <c r="G689" s="135"/>
      <c r="H689" s="135"/>
      <c r="AE689" s="1374" t="s">
        <v>555</v>
      </c>
      <c r="AF689" s="1374"/>
      <c r="AZ689" s="34"/>
      <c r="BA689" s="34"/>
      <c r="BB689" s="34"/>
      <c r="BC689" s="34"/>
      <c r="BD689" s="34"/>
      <c r="BE689" s="34"/>
      <c r="BF689" s="34"/>
      <c r="BG689" s="315">
        <f t="shared" ref="BG689:BG713" si="46">G714</f>
        <v>11</v>
      </c>
      <c r="BH689" s="319">
        <f>BG689/$BG$714</f>
        <v>4.8672566371681415E-2</v>
      </c>
      <c r="BI689" s="320">
        <f t="shared" ref="BI689:BI713" si="47">IF(BH689=0," ",BH689*AH714)</f>
        <v>1.4598002685005069E-2</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 customHeight="1">
      <c r="B690" s="135"/>
      <c r="C690" s="135"/>
      <c r="D690" s="136" t="s">
        <v>441</v>
      </c>
      <c r="E690" s="135"/>
      <c r="F690" s="135"/>
      <c r="G690" s="135"/>
      <c r="H690" s="135"/>
      <c r="AE690" s="1374" t="s">
        <v>679</v>
      </c>
      <c r="AF690" s="1374"/>
      <c r="AZ690" s="34"/>
      <c r="BA690" s="34"/>
      <c r="BB690" s="34"/>
      <c r="BC690" s="34"/>
      <c r="BD690" s="34"/>
      <c r="BE690" s="34"/>
      <c r="BF690" s="34"/>
      <c r="BG690" s="316">
        <f t="shared" si="46"/>
        <v>11</v>
      </c>
      <c r="BH690" s="319">
        <f t="shared" ref="BH690:BH713" si="48">BG690/$BG$714</f>
        <v>4.8672566371681415E-2</v>
      </c>
      <c r="BI690" s="320">
        <f t="shared" si="47"/>
        <v>2.4336283185840708E-2</v>
      </c>
      <c r="BJ690" s="3"/>
      <c r="BK690" s="34"/>
      <c r="BL690" s="34"/>
      <c r="BM690" s="34"/>
      <c r="BN690" s="34"/>
      <c r="BO690" s="34"/>
      <c r="BP690" s="379" t="s">
        <v>740</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 customHeight="1">
      <c r="B691" s="135"/>
      <c r="C691" s="135"/>
      <c r="D691" s="136" t="s">
        <v>959</v>
      </c>
      <c r="E691" s="135"/>
      <c r="F691" s="135"/>
      <c r="G691" s="135"/>
      <c r="H691" s="135"/>
      <c r="AE691" s="1536">
        <v>45175</v>
      </c>
      <c r="AF691" s="1536"/>
      <c r="AG691" s="1536"/>
      <c r="AH691" s="1536"/>
      <c r="AI691" s="1536"/>
      <c r="AZ691" s="34"/>
      <c r="BA691" s="34"/>
      <c r="BB691" s="34"/>
      <c r="BC691" s="34"/>
      <c r="BD691" s="34"/>
      <c r="BE691" s="3"/>
      <c r="BF691" s="3"/>
      <c r="BG691" s="316">
        <f t="shared" si="46"/>
        <v>83</v>
      </c>
      <c r="BH691" s="319">
        <f t="shared" si="48"/>
        <v>0.36725663716814161</v>
      </c>
      <c r="BI691" s="320">
        <f t="shared" si="47"/>
        <v>0.22043925860982494</v>
      </c>
      <c r="BJ691" s="3"/>
      <c r="BK691" s="3"/>
      <c r="BL691" s="3"/>
      <c r="BM691" s="3"/>
      <c r="BN691" s="34"/>
      <c r="BO691" s="34"/>
      <c r="BP691" s="379" t="s">
        <v>741</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 customHeight="1">
      <c r="B692" s="135"/>
      <c r="C692" s="135"/>
      <c r="D692" s="344" t="s">
        <v>1022</v>
      </c>
      <c r="E692" s="135"/>
      <c r="F692" s="135"/>
      <c r="G692" s="135"/>
      <c r="H692" s="135"/>
      <c r="AE692" s="1718">
        <v>45266</v>
      </c>
      <c r="AF692" s="1718"/>
      <c r="AG692" s="1718"/>
      <c r="AH692" s="1718"/>
      <c r="AI692" s="1718"/>
      <c r="AZ692" s="34"/>
      <c r="BA692" s="34"/>
      <c r="BB692" s="34"/>
      <c r="BC692" s="34"/>
      <c r="BD692" s="34"/>
      <c r="BE692" s="3"/>
      <c r="BF692" s="2"/>
      <c r="BG692" s="316">
        <f t="shared" si="46"/>
        <v>7</v>
      </c>
      <c r="BH692" s="319">
        <f t="shared" si="48"/>
        <v>3.0973451327433628E-2</v>
      </c>
      <c r="BI692" s="320">
        <f t="shared" si="47"/>
        <v>9.2860444018418031E-3</v>
      </c>
      <c r="BJ692" s="3"/>
      <c r="BK692" s="3"/>
      <c r="BL692" s="3"/>
      <c r="BM692" s="3"/>
      <c r="BN692" s="34"/>
      <c r="BO692" s="34"/>
      <c r="BP692" s="379" t="s">
        <v>742</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 customHeight="1">
      <c r="B693" s="135"/>
      <c r="C693" s="135"/>
      <c r="AZ693" s="34"/>
      <c r="BA693" s="34"/>
      <c r="BB693" s="34"/>
      <c r="BC693" s="34"/>
      <c r="BD693" s="34"/>
      <c r="BE693" s="3"/>
      <c r="BF693" s="3"/>
      <c r="BG693" s="316">
        <f t="shared" si="46"/>
        <v>7</v>
      </c>
      <c r="BH693" s="319">
        <f t="shared" si="48"/>
        <v>3.0973451327433628E-2</v>
      </c>
      <c r="BI693" s="320">
        <f t="shared" si="47"/>
        <v>1.5486725663716814E-2</v>
      </c>
      <c r="BJ693" s="3"/>
      <c r="BK693" s="3"/>
      <c r="BL693" s="3"/>
      <c r="BM693" s="3"/>
      <c r="BN693" s="34"/>
      <c r="BO693" s="34"/>
      <c r="BP693" s="379" t="s">
        <v>743</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 customHeight="1">
      <c r="B694" s="135"/>
      <c r="C694" s="135"/>
      <c r="D694" s="136" t="s">
        <v>843</v>
      </c>
      <c r="E694" s="135"/>
      <c r="F694" s="135"/>
      <c r="G694" s="135"/>
      <c r="H694" s="135"/>
      <c r="AE694" s="1536">
        <v>45444</v>
      </c>
      <c r="AF694" s="1536"/>
      <c r="AG694" s="1536"/>
      <c r="AH694" s="1536"/>
      <c r="AI694" s="1536"/>
      <c r="AZ694" s="3"/>
      <c r="BA694" s="3"/>
      <c r="BB694" s="3"/>
      <c r="BC694" s="3"/>
      <c r="BD694" s="3"/>
      <c r="BE694" s="3"/>
      <c r="BF694" s="3"/>
      <c r="BG694" s="316">
        <f t="shared" si="46"/>
        <v>47</v>
      </c>
      <c r="BH694" s="319">
        <f t="shared" si="48"/>
        <v>0.20796460176991149</v>
      </c>
      <c r="BI694" s="320">
        <f t="shared" si="47"/>
        <v>0.12476535264145883</v>
      </c>
      <c r="BJ694" s="3"/>
      <c r="BK694" s="3"/>
      <c r="BL694" s="3"/>
      <c r="BM694" s="3"/>
      <c r="BN694" s="3"/>
      <c r="BO694" s="3"/>
      <c r="BP694" s="379" t="s">
        <v>744</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 customHeight="1">
      <c r="B695" s="135"/>
      <c r="C695" s="135"/>
      <c r="D695" s="136" t="s">
        <v>439</v>
      </c>
      <c r="E695" s="135"/>
      <c r="F695" s="135"/>
      <c r="G695" s="135"/>
      <c r="H695" s="135"/>
      <c r="AE695" s="1696">
        <v>0.54990000000000006</v>
      </c>
      <c r="AF695" s="1696"/>
      <c r="AG695" s="1696"/>
      <c r="AH695" s="1696"/>
      <c r="AI695" s="1696"/>
      <c r="AZ695" s="3"/>
      <c r="BA695" s="3"/>
      <c r="BB695" s="3"/>
      <c r="BC695" s="3"/>
      <c r="BD695" s="3"/>
      <c r="BE695" s="3"/>
      <c r="BF695" s="3"/>
      <c r="BG695" s="316">
        <f t="shared" si="46"/>
        <v>6</v>
      </c>
      <c r="BH695" s="319">
        <f t="shared" si="48"/>
        <v>2.6548672566371681E-2</v>
      </c>
      <c r="BI695" s="320">
        <f t="shared" si="47"/>
        <v>7.967566445798312E-3</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 customHeight="1">
      <c r="B696" s="135"/>
      <c r="C696" s="135"/>
      <c r="D696" s="136" t="s">
        <v>440</v>
      </c>
      <c r="E696" s="135"/>
      <c r="F696" s="135"/>
      <c r="G696" s="135"/>
      <c r="H696" s="135"/>
      <c r="W696" s="1511" t="str">
        <f>H334</f>
        <v>California Municipal Finance Authority</v>
      </c>
      <c r="X696" s="1511"/>
      <c r="Y696" s="1511"/>
      <c r="Z696" s="1511"/>
      <c r="AA696" s="1511"/>
      <c r="AB696" s="1511"/>
      <c r="AC696" s="1511"/>
      <c r="AD696" s="1511"/>
      <c r="AE696" s="1511"/>
      <c r="AF696" s="1511"/>
      <c r="AG696" s="1511"/>
      <c r="AH696" s="1511"/>
      <c r="AI696" s="1511"/>
      <c r="AJ696" s="1511"/>
      <c r="AK696" s="1511"/>
      <c r="AZ696" s="3"/>
      <c r="BA696" s="3"/>
      <c r="BB696" s="3"/>
      <c r="BC696" s="3"/>
      <c r="BD696" s="3"/>
      <c r="BE696" s="3"/>
      <c r="BF696" s="3"/>
      <c r="BG696" s="316">
        <f t="shared" si="46"/>
        <v>6</v>
      </c>
      <c r="BH696" s="319">
        <f t="shared" si="48"/>
        <v>2.6548672566371681E-2</v>
      </c>
      <c r="BI696" s="320">
        <f t="shared" si="47"/>
        <v>1.3274336283185841E-2</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 customHeight="1">
      <c r="B697" s="135"/>
      <c r="C697" s="135"/>
      <c r="D697" s="136"/>
      <c r="E697" s="135"/>
      <c r="F697" s="135"/>
      <c r="G697" s="135"/>
      <c r="H697" s="135"/>
      <c r="AZ697" s="3"/>
      <c r="BA697" s="3"/>
      <c r="BB697" s="3"/>
      <c r="BC697" s="3"/>
      <c r="BD697" s="3"/>
      <c r="BE697" s="3"/>
      <c r="BF697" s="3"/>
      <c r="BG697" s="316">
        <f t="shared" si="46"/>
        <v>48</v>
      </c>
      <c r="BH697" s="319">
        <f t="shared" si="48"/>
        <v>0.21238938053097345</v>
      </c>
      <c r="BI697" s="320">
        <f t="shared" si="47"/>
        <v>0.12748106313277299</v>
      </c>
      <c r="BJ697" s="3"/>
      <c r="BK697" s="3"/>
      <c r="BL697" s="3"/>
      <c r="BM697" s="3"/>
      <c r="BN697" s="3"/>
      <c r="BO697" s="3"/>
      <c r="BP697" s="379" t="s">
        <v>193</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 customHeight="1">
      <c r="B698" s="135"/>
      <c r="C698" s="135"/>
      <c r="D698" s="136" t="s">
        <v>442</v>
      </c>
      <c r="E698" s="135"/>
      <c r="F698" s="135"/>
      <c r="G698" s="135"/>
      <c r="H698" s="135"/>
      <c r="AE698" s="1374" t="s">
        <v>679</v>
      </c>
      <c r="AF698" s="1374"/>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194</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 customHeight="1">
      <c r="B699" s="135"/>
      <c r="C699" s="135"/>
      <c r="D699" s="136" t="s">
        <v>446</v>
      </c>
      <c r="E699" s="135"/>
      <c r="F699" s="135"/>
      <c r="G699" s="135"/>
      <c r="H699" s="135"/>
      <c r="W699" s="1395"/>
      <c r="X699" s="1395"/>
      <c r="Y699" s="1395"/>
      <c r="Z699" s="1395"/>
      <c r="AA699" s="1395"/>
      <c r="AB699" s="1395"/>
      <c r="AC699" s="1395"/>
      <c r="AD699" s="1395"/>
      <c r="AE699" s="1395"/>
      <c r="AF699" s="1395"/>
      <c r="AG699" s="1395"/>
      <c r="AH699" s="1395"/>
      <c r="AI699" s="1395"/>
      <c r="AJ699" s="1395"/>
      <c r="AK699" s="1395"/>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195</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 customHeight="1">
      <c r="B700" s="135"/>
      <c r="C700" s="135"/>
      <c r="D700" s="136" t="s">
        <v>88</v>
      </c>
      <c r="E700" s="135"/>
      <c r="F700" s="135"/>
      <c r="G700" s="135"/>
      <c r="H700" s="135"/>
      <c r="J700" s="1395"/>
      <c r="K700" s="1395"/>
      <c r="L700" s="1395"/>
      <c r="M700" s="1395"/>
      <c r="N700" s="1395"/>
      <c r="O700" s="1395"/>
      <c r="P700" s="1395"/>
      <c r="Q700" s="1395"/>
      <c r="R700" s="1395"/>
      <c r="S700" s="1395"/>
      <c r="T700" s="1395"/>
      <c r="U700" s="1395"/>
      <c r="V700" s="1395"/>
      <c r="W700" s="1395"/>
      <c r="X700" s="1395"/>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 customHeight="1">
      <c r="B701" s="135"/>
      <c r="C701" s="135"/>
      <c r="D701" s="136" t="s">
        <v>89</v>
      </c>
      <c r="J701" s="1436"/>
      <c r="K701" s="1436"/>
      <c r="L701" s="1436"/>
      <c r="M701" s="1436"/>
      <c r="N701" s="1436"/>
      <c r="O701" s="1436"/>
      <c r="P701" s="4" t="s">
        <v>208</v>
      </c>
      <c r="Q701" s="4"/>
      <c r="R701" s="1462"/>
      <c r="S701" s="1462"/>
      <c r="T701" s="1462"/>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 customHeight="1">
      <c r="B702" s="135"/>
      <c r="C702" s="135"/>
      <c r="D702" s="136" t="s">
        <v>447</v>
      </c>
      <c r="W702" s="1395" t="s">
        <v>309</v>
      </c>
      <c r="X702" s="1395"/>
      <c r="Y702" s="1395"/>
      <c r="Z702" s="1395"/>
      <c r="AA702" s="1395"/>
      <c r="AB702" s="1395"/>
      <c r="AC702" s="1395"/>
      <c r="AD702" s="1395"/>
      <c r="AE702" s="1395"/>
      <c r="AF702" s="1395"/>
      <c r="AG702" s="1395"/>
      <c r="AH702" s="1395"/>
      <c r="AI702" s="1395"/>
      <c r="AJ702" s="1395"/>
      <c r="AK702" s="1395"/>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 customHeight="1">
      <c r="B703" s="135"/>
      <c r="C703" s="135"/>
      <c r="D703" s="136"/>
      <c r="E703" s="1395" t="s">
        <v>336</v>
      </c>
      <c r="F703" s="1395"/>
      <c r="G703" s="1395"/>
      <c r="H703" s="1395"/>
      <c r="I703" s="1395"/>
      <c r="J703" s="1395"/>
      <c r="K703" s="1395"/>
      <c r="L703" s="1395"/>
      <c r="M703" s="1395"/>
      <c r="N703" s="1395"/>
      <c r="O703" s="1395"/>
      <c r="P703" s="1395"/>
      <c r="Q703" s="1395"/>
      <c r="R703" s="1395"/>
      <c r="S703" s="1395"/>
      <c r="T703" s="1395"/>
      <c r="U703" s="1395"/>
      <c r="V703" s="1395"/>
      <c r="W703" s="1395"/>
      <c r="X703" s="1395"/>
      <c r="Y703" s="1395"/>
      <c r="Z703" s="1395"/>
      <c r="AA703" s="1395"/>
      <c r="AB703" s="1395"/>
      <c r="AC703" s="1395"/>
      <c r="AD703" s="1395"/>
      <c r="AE703" s="1395"/>
      <c r="AF703" s="1395"/>
      <c r="AG703" s="1395"/>
      <c r="AH703" s="1395"/>
      <c r="AI703" s="1395"/>
      <c r="AJ703" s="1395"/>
      <c r="AK703" s="1395"/>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 customHeight="1">
      <c r="A705" s="1271" t="s">
        <v>96</v>
      </c>
      <c r="B705" s="1271"/>
      <c r="C705" s="1271"/>
      <c r="D705" s="1271"/>
      <c r="E705" s="1271"/>
      <c r="F705" s="1271"/>
      <c r="G705" s="1271"/>
      <c r="H705" s="1271"/>
      <c r="I705" s="1271"/>
      <c r="J705" s="1271"/>
      <c r="K705" s="1271"/>
      <c r="L705" s="1271"/>
      <c r="M705" s="1271"/>
      <c r="N705" s="1271"/>
      <c r="O705" s="1271"/>
      <c r="P705" s="1271"/>
      <c r="Q705" s="1271"/>
      <c r="R705" s="1271"/>
      <c r="S705" s="1271"/>
      <c r="T705" s="1271"/>
      <c r="U705" s="1271"/>
      <c r="V705" s="1271"/>
      <c r="W705" s="1271"/>
      <c r="X705" s="1271"/>
      <c r="Y705" s="1271"/>
      <c r="Z705" s="1271"/>
      <c r="AA705" s="1271"/>
      <c r="AB705" s="1271"/>
      <c r="AC705" s="1271"/>
      <c r="AD705" s="1271"/>
      <c r="AE705" s="1271"/>
      <c r="AF705" s="1271"/>
      <c r="AG705" s="1271"/>
      <c r="AH705" s="1271"/>
      <c r="AI705" s="1271"/>
      <c r="AJ705" s="1271"/>
      <c r="AK705" s="1271"/>
      <c r="AL705" s="1271"/>
      <c r="AM705" s="1271"/>
      <c r="AN705" s="1271"/>
      <c r="AO705" s="1271"/>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 customHeight="1">
      <c r="A706" s="1271"/>
      <c r="B706" s="1271"/>
      <c r="C706" s="1271"/>
      <c r="D706" s="1271"/>
      <c r="E706" s="1271"/>
      <c r="F706" s="1271"/>
      <c r="G706" s="1271"/>
      <c r="H706" s="1271"/>
      <c r="I706" s="1271"/>
      <c r="J706" s="1271"/>
      <c r="K706" s="1271"/>
      <c r="L706" s="1271"/>
      <c r="M706" s="1271"/>
      <c r="N706" s="1271"/>
      <c r="O706" s="1271"/>
      <c r="P706" s="1271"/>
      <c r="Q706" s="1271"/>
      <c r="R706" s="1271"/>
      <c r="S706" s="1271"/>
      <c r="T706" s="1271"/>
      <c r="U706" s="1271"/>
      <c r="V706" s="1271"/>
      <c r="W706" s="1271"/>
      <c r="X706" s="1271"/>
      <c r="Y706" s="1271"/>
      <c r="Z706" s="1271"/>
      <c r="AA706" s="1271"/>
      <c r="AB706" s="1271"/>
      <c r="AC706" s="1271"/>
      <c r="AD706" s="1271"/>
      <c r="AE706" s="1271"/>
      <c r="AF706" s="1271"/>
      <c r="AG706" s="1271"/>
      <c r="AH706" s="1271"/>
      <c r="AI706" s="1271"/>
      <c r="AJ706" s="1271"/>
      <c r="AK706" s="1271"/>
      <c r="AL706" s="1271"/>
      <c r="AM706" s="1271"/>
      <c r="AN706" s="1271"/>
      <c r="AO706" s="1271"/>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 customHeight="1">
      <c r="A707" s="1271"/>
      <c r="B707" s="1271"/>
      <c r="C707" s="1271"/>
      <c r="D707" s="1271"/>
      <c r="E707" s="1271"/>
      <c r="F707" s="1271"/>
      <c r="G707" s="1271"/>
      <c r="H707" s="1271"/>
      <c r="I707" s="1271"/>
      <c r="J707" s="1271"/>
      <c r="K707" s="1271"/>
      <c r="L707" s="1271"/>
      <c r="M707" s="1271"/>
      <c r="N707" s="1271"/>
      <c r="O707" s="1271"/>
      <c r="P707" s="1271"/>
      <c r="Q707" s="1271"/>
      <c r="R707" s="1271"/>
      <c r="S707" s="1271"/>
      <c r="T707" s="1271"/>
      <c r="U707" s="1271"/>
      <c r="V707" s="1271"/>
      <c r="W707" s="1271"/>
      <c r="X707" s="1271"/>
      <c r="Y707" s="1271"/>
      <c r="Z707" s="1271"/>
      <c r="AA707" s="1271"/>
      <c r="AB707" s="1271"/>
      <c r="AC707" s="1271"/>
      <c r="AD707" s="1271"/>
      <c r="AE707" s="1271"/>
      <c r="AF707" s="1271"/>
      <c r="AG707" s="1271"/>
      <c r="AH707" s="1271"/>
      <c r="AI707" s="1271"/>
      <c r="AJ707" s="1271"/>
      <c r="AK707" s="1271"/>
      <c r="AL707" s="1271"/>
      <c r="AM707" s="1271"/>
      <c r="AN707" s="1271"/>
      <c r="AO707" s="1271"/>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 customHeight="1">
      <c r="B710" s="1481" t="s">
        <v>391</v>
      </c>
      <c r="C710" s="1482"/>
      <c r="D710" s="1482"/>
      <c r="E710" s="1482"/>
      <c r="F710" s="1483"/>
      <c r="G710" s="1481" t="s">
        <v>287</v>
      </c>
      <c r="H710" s="1482"/>
      <c r="I710" s="1482"/>
      <c r="J710" s="1483"/>
      <c r="K710" s="1496" t="s">
        <v>1937</v>
      </c>
      <c r="L710" s="1497"/>
      <c r="M710" s="1497"/>
      <c r="N710" s="1498"/>
      <c r="O710" s="1481" t="s">
        <v>457</v>
      </c>
      <c r="P710" s="1482"/>
      <c r="Q710" s="1482"/>
      <c r="R710" s="1482"/>
      <c r="S710" s="1483"/>
      <c r="T710" s="1569" t="s">
        <v>2332</v>
      </c>
      <c r="U710" s="1482"/>
      <c r="V710" s="1482"/>
      <c r="W710" s="1483"/>
      <c r="X710" s="1569" t="s">
        <v>2334</v>
      </c>
      <c r="Y710" s="1482"/>
      <c r="Z710" s="1482"/>
      <c r="AA710" s="1482"/>
      <c r="AB710" s="1483"/>
      <c r="AC710" s="1569" t="s">
        <v>2333</v>
      </c>
      <c r="AD710" s="1482"/>
      <c r="AE710" s="1482"/>
      <c r="AF710" s="1482"/>
      <c r="AG710" s="1483"/>
      <c r="AH710" s="1569" t="s">
        <v>2335</v>
      </c>
      <c r="AI710" s="1482"/>
      <c r="AJ710" s="1483"/>
      <c r="AK710" s="1569" t="s">
        <v>2369</v>
      </c>
      <c r="AL710" s="1482"/>
      <c r="AM710" s="1482"/>
      <c r="AN710" s="1482"/>
      <c r="AO710" s="1483"/>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 customHeight="1">
      <c r="B711" s="1484"/>
      <c r="C711" s="1485"/>
      <c r="D711" s="1485"/>
      <c r="E711" s="1485"/>
      <c r="F711" s="1486"/>
      <c r="G711" s="1484"/>
      <c r="H711" s="1485"/>
      <c r="I711" s="1485"/>
      <c r="J711" s="1486"/>
      <c r="K711" s="1499"/>
      <c r="L711" s="1500"/>
      <c r="M711" s="1500"/>
      <c r="N711" s="1501"/>
      <c r="O711" s="1484"/>
      <c r="P711" s="1485"/>
      <c r="Q711" s="1485"/>
      <c r="R711" s="1485"/>
      <c r="S711" s="1486"/>
      <c r="T711" s="1484"/>
      <c r="U711" s="1485"/>
      <c r="V711" s="1485"/>
      <c r="W711" s="1486"/>
      <c r="X711" s="1484"/>
      <c r="Y711" s="1485"/>
      <c r="Z711" s="1485"/>
      <c r="AA711" s="1485"/>
      <c r="AB711" s="1486"/>
      <c r="AC711" s="1484"/>
      <c r="AD711" s="1485"/>
      <c r="AE711" s="1485"/>
      <c r="AF711" s="1485"/>
      <c r="AG711" s="1486"/>
      <c r="AH711" s="1484"/>
      <c r="AI711" s="1485"/>
      <c r="AJ711" s="1486"/>
      <c r="AK711" s="1484"/>
      <c r="AL711" s="1485"/>
      <c r="AM711" s="1485"/>
      <c r="AN711" s="1485"/>
      <c r="AO711" s="1486"/>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 customHeight="1">
      <c r="A712" s="4"/>
      <c r="B712" s="1484"/>
      <c r="C712" s="1485"/>
      <c r="D712" s="1485"/>
      <c r="E712" s="1485"/>
      <c r="F712" s="1486"/>
      <c r="G712" s="1484"/>
      <c r="H712" s="1485"/>
      <c r="I712" s="1485"/>
      <c r="J712" s="1486"/>
      <c r="K712" s="1499"/>
      <c r="L712" s="1500"/>
      <c r="M712" s="1500"/>
      <c r="N712" s="1501"/>
      <c r="O712" s="1484"/>
      <c r="P712" s="1485"/>
      <c r="Q712" s="1485"/>
      <c r="R712" s="1485"/>
      <c r="S712" s="1486"/>
      <c r="T712" s="1484"/>
      <c r="U712" s="1485"/>
      <c r="V712" s="1485"/>
      <c r="W712" s="1486"/>
      <c r="X712" s="1484"/>
      <c r="Y712" s="1485"/>
      <c r="Z712" s="1485"/>
      <c r="AA712" s="1485"/>
      <c r="AB712" s="1486"/>
      <c r="AC712" s="1484"/>
      <c r="AD712" s="1485"/>
      <c r="AE712" s="1485"/>
      <c r="AF712" s="1485"/>
      <c r="AG712" s="1486"/>
      <c r="AH712" s="1484"/>
      <c r="AI712" s="1485"/>
      <c r="AJ712" s="1486"/>
      <c r="AK712" s="1484"/>
      <c r="AL712" s="1485"/>
      <c r="AM712" s="1485"/>
      <c r="AN712" s="1485"/>
      <c r="AO712" s="1486"/>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 customHeight="1" thickBot="1">
      <c r="A713" s="4"/>
      <c r="B713" s="1487"/>
      <c r="C713" s="1488"/>
      <c r="D713" s="1488"/>
      <c r="E713" s="1488"/>
      <c r="F713" s="1489"/>
      <c r="G713" s="1487"/>
      <c r="H713" s="1488"/>
      <c r="I713" s="1488"/>
      <c r="J713" s="1489"/>
      <c r="K713" s="1499"/>
      <c r="L713" s="1500"/>
      <c r="M713" s="1500"/>
      <c r="N713" s="1501"/>
      <c r="O713" s="1487"/>
      <c r="P713" s="1488"/>
      <c r="Q713" s="1488"/>
      <c r="R713" s="1488"/>
      <c r="S713" s="1489"/>
      <c r="T713" s="1487"/>
      <c r="U713" s="1488"/>
      <c r="V713" s="1488"/>
      <c r="W713" s="1489"/>
      <c r="X713" s="1487"/>
      <c r="Y713" s="1488"/>
      <c r="Z713" s="1488"/>
      <c r="AA713" s="1488"/>
      <c r="AB713" s="1489"/>
      <c r="AC713" s="1487"/>
      <c r="AD713" s="1488"/>
      <c r="AE713" s="1488"/>
      <c r="AF713" s="1488"/>
      <c r="AG713" s="1489"/>
      <c r="AH713" s="1487"/>
      <c r="AI713" s="1488"/>
      <c r="AJ713" s="1489"/>
      <c r="AK713" s="1487"/>
      <c r="AL713" s="1488"/>
      <c r="AM713" s="1488"/>
      <c r="AN713" s="1488"/>
      <c r="AO713" s="1489"/>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A714" s="4"/>
      <c r="B714" s="1380" t="s">
        <v>327</v>
      </c>
      <c r="C714" s="1381"/>
      <c r="D714" s="1381"/>
      <c r="E714" s="1381"/>
      <c r="F714" s="1382"/>
      <c r="G714" s="1478">
        <v>11</v>
      </c>
      <c r="H714" s="1479"/>
      <c r="I714" s="1479"/>
      <c r="J714" s="1480"/>
      <c r="K714" s="1475">
        <v>525</v>
      </c>
      <c r="L714" s="1476"/>
      <c r="M714" s="1476"/>
      <c r="N714" s="1477"/>
      <c r="O714" s="1472">
        <v>775</v>
      </c>
      <c r="P714" s="1473"/>
      <c r="Q714" s="1473"/>
      <c r="R714" s="1473"/>
      <c r="S714" s="1474"/>
      <c r="T714" s="1472">
        <v>0</v>
      </c>
      <c r="U714" s="1473"/>
      <c r="V714" s="1473"/>
      <c r="W714" s="1474"/>
      <c r="X714" s="1490">
        <f t="shared" ref="X714:X738" si="49">O714+T714</f>
        <v>775</v>
      </c>
      <c r="Y714" s="1491"/>
      <c r="Z714" s="1491"/>
      <c r="AA714" s="1491"/>
      <c r="AB714" s="1492"/>
      <c r="AC714" s="1570">
        <v>0.3</v>
      </c>
      <c r="AD714" s="1571"/>
      <c r="AE714" s="1571"/>
      <c r="AF714" s="1571"/>
      <c r="AG714" s="1572"/>
      <c r="AH714" s="1566">
        <f t="shared" ref="AH714:AH738" si="50">IF($AC714&gt;0,($X714/$BA656), " ")</f>
        <v>0.29992260061919507</v>
      </c>
      <c r="AI714" s="1567"/>
      <c r="AJ714" s="1568"/>
      <c r="AK714" s="1380" t="s">
        <v>601</v>
      </c>
      <c r="AL714" s="1381"/>
      <c r="AM714" s="1381"/>
      <c r="AN714" s="1381"/>
      <c r="AO714" s="1382"/>
      <c r="AP714" s="3"/>
      <c r="AQ714" s="3"/>
      <c r="AR714" s="3"/>
      <c r="AS714" s="3"/>
      <c r="AY714" s="1134"/>
      <c r="AZ714" s="1134"/>
      <c r="BA714" s="1134"/>
      <c r="BB714" s="1134"/>
      <c r="BC714" s="1134"/>
      <c r="BD714" s="3"/>
      <c r="BE714" s="3"/>
      <c r="BF714" s="3"/>
      <c r="BG714" s="895">
        <f>SUM(BG689:BG713)</f>
        <v>226</v>
      </c>
      <c r="BH714" s="322">
        <f>SUM(BH689:BH713)</f>
        <v>1</v>
      </c>
      <c r="BI714" s="322">
        <f>SUM(BI689:BI713)</f>
        <v>0.55763463304944538</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A715" s="4"/>
      <c r="B715" s="1380" t="s">
        <v>327</v>
      </c>
      <c r="C715" s="1381"/>
      <c r="D715" s="1381"/>
      <c r="E715" s="1381"/>
      <c r="F715" s="1382"/>
      <c r="G715" s="1478">
        <v>11</v>
      </c>
      <c r="H715" s="1479"/>
      <c r="I715" s="1479"/>
      <c r="J715" s="1480"/>
      <c r="K715" s="1475">
        <v>525</v>
      </c>
      <c r="L715" s="1476"/>
      <c r="M715" s="1476"/>
      <c r="N715" s="1477"/>
      <c r="O715" s="1472">
        <v>1292</v>
      </c>
      <c r="P715" s="1473"/>
      <c r="Q715" s="1473"/>
      <c r="R715" s="1473"/>
      <c r="S715" s="1474"/>
      <c r="T715" s="1472"/>
      <c r="U715" s="1473"/>
      <c r="V715" s="1473"/>
      <c r="W715" s="1474"/>
      <c r="X715" s="1490">
        <f t="shared" si="49"/>
        <v>1292</v>
      </c>
      <c r="Y715" s="1491"/>
      <c r="Z715" s="1491"/>
      <c r="AA715" s="1491"/>
      <c r="AB715" s="1492"/>
      <c r="AC715" s="1570">
        <v>0.5</v>
      </c>
      <c r="AD715" s="1571"/>
      <c r="AE715" s="1571"/>
      <c r="AF715" s="1571"/>
      <c r="AG715" s="1572"/>
      <c r="AH715" s="1566">
        <f t="shared" si="50"/>
        <v>0.5</v>
      </c>
      <c r="AI715" s="1567"/>
      <c r="AJ715" s="1568"/>
      <c r="AK715" s="1380" t="s">
        <v>601</v>
      </c>
      <c r="AL715" s="1381"/>
      <c r="AM715" s="1381"/>
      <c r="AN715" s="1381"/>
      <c r="AO715" s="1382"/>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716" s="4"/>
      <c r="B716" s="1380" t="s">
        <v>327</v>
      </c>
      <c r="C716" s="1381"/>
      <c r="D716" s="1381"/>
      <c r="E716" s="1381"/>
      <c r="F716" s="1382"/>
      <c r="G716" s="1478">
        <v>83</v>
      </c>
      <c r="H716" s="1479"/>
      <c r="I716" s="1479"/>
      <c r="J716" s="1480"/>
      <c r="K716" s="1475">
        <v>525</v>
      </c>
      <c r="L716" s="1476"/>
      <c r="M716" s="1476"/>
      <c r="N716" s="1477"/>
      <c r="O716" s="1472">
        <v>1551</v>
      </c>
      <c r="P716" s="1473"/>
      <c r="Q716" s="1473"/>
      <c r="R716" s="1473"/>
      <c r="S716" s="1474"/>
      <c r="T716" s="1472"/>
      <c r="U716" s="1473"/>
      <c r="V716" s="1473"/>
      <c r="W716" s="1474"/>
      <c r="X716" s="1490">
        <f t="shared" si="49"/>
        <v>1551</v>
      </c>
      <c r="Y716" s="1491"/>
      <c r="Z716" s="1491"/>
      <c r="AA716" s="1491"/>
      <c r="AB716" s="1492"/>
      <c r="AC716" s="1570">
        <v>0.6</v>
      </c>
      <c r="AD716" s="1571"/>
      <c r="AE716" s="1571"/>
      <c r="AF716" s="1571"/>
      <c r="AG716" s="1572"/>
      <c r="AH716" s="1566">
        <f t="shared" si="50"/>
        <v>0.60023219814241491</v>
      </c>
      <c r="AI716" s="1567"/>
      <c r="AJ716" s="1568"/>
      <c r="AK716" s="1380" t="s">
        <v>601</v>
      </c>
      <c r="AL716" s="1381"/>
      <c r="AM716" s="1381"/>
      <c r="AN716" s="1381"/>
      <c r="AO716" s="1382"/>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B717" s="1380" t="s">
        <v>164</v>
      </c>
      <c r="C717" s="1381"/>
      <c r="D717" s="1381"/>
      <c r="E717" s="1381"/>
      <c r="F717" s="1382"/>
      <c r="G717" s="1478">
        <v>7</v>
      </c>
      <c r="H717" s="1479"/>
      <c r="I717" s="1479"/>
      <c r="J717" s="1480"/>
      <c r="K717" s="1475">
        <v>730</v>
      </c>
      <c r="L717" s="1476"/>
      <c r="M717" s="1476"/>
      <c r="N717" s="1477"/>
      <c r="O717" s="1472">
        <v>930</v>
      </c>
      <c r="P717" s="1473"/>
      <c r="Q717" s="1473"/>
      <c r="R717" s="1473"/>
      <c r="S717" s="1474"/>
      <c r="T717" s="1472"/>
      <c r="U717" s="1473"/>
      <c r="V717" s="1473"/>
      <c r="W717" s="1474"/>
      <c r="X717" s="1490">
        <f t="shared" si="49"/>
        <v>930</v>
      </c>
      <c r="Y717" s="1491"/>
      <c r="Z717" s="1491"/>
      <c r="AA717" s="1491"/>
      <c r="AB717" s="1492"/>
      <c r="AC717" s="1570">
        <v>0.3</v>
      </c>
      <c r="AD717" s="1571"/>
      <c r="AE717" s="1571"/>
      <c r="AF717" s="1571"/>
      <c r="AG717" s="1572"/>
      <c r="AH717" s="1566">
        <f t="shared" si="50"/>
        <v>0.29980657640232106</v>
      </c>
      <c r="AI717" s="1567"/>
      <c r="AJ717" s="1568"/>
      <c r="AK717" s="1380" t="s">
        <v>601</v>
      </c>
      <c r="AL717" s="1381"/>
      <c r="AM717" s="1381"/>
      <c r="AN717" s="1381"/>
      <c r="AO717" s="1382"/>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B718" s="1380" t="s">
        <v>164</v>
      </c>
      <c r="C718" s="1381"/>
      <c r="D718" s="1381"/>
      <c r="E718" s="1381"/>
      <c r="F718" s="1382"/>
      <c r="G718" s="1478">
        <v>7</v>
      </c>
      <c r="H718" s="1479"/>
      <c r="I718" s="1479"/>
      <c r="J718" s="1480"/>
      <c r="K718" s="1475">
        <v>730</v>
      </c>
      <c r="L718" s="1476"/>
      <c r="M718" s="1476"/>
      <c r="N718" s="1477"/>
      <c r="O718" s="1472">
        <v>1551</v>
      </c>
      <c r="P718" s="1473"/>
      <c r="Q718" s="1473"/>
      <c r="R718" s="1473"/>
      <c r="S718" s="1474"/>
      <c r="T718" s="1472"/>
      <c r="U718" s="1473"/>
      <c r="V718" s="1473"/>
      <c r="W718" s="1474"/>
      <c r="X718" s="1490">
        <f t="shared" si="49"/>
        <v>1551</v>
      </c>
      <c r="Y718" s="1491"/>
      <c r="Z718" s="1491"/>
      <c r="AA718" s="1491"/>
      <c r="AB718" s="1492"/>
      <c r="AC718" s="1570">
        <v>0.5</v>
      </c>
      <c r="AD718" s="1571"/>
      <c r="AE718" s="1571"/>
      <c r="AF718" s="1571"/>
      <c r="AG718" s="1572"/>
      <c r="AH718" s="1566">
        <f t="shared" si="50"/>
        <v>0.5</v>
      </c>
      <c r="AI718" s="1567"/>
      <c r="AJ718" s="1568"/>
      <c r="AK718" s="1380" t="s">
        <v>601</v>
      </c>
      <c r="AL718" s="1381"/>
      <c r="AM718" s="1381"/>
      <c r="AN718" s="1381"/>
      <c r="AO718" s="1382"/>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B719" s="1380" t="s">
        <v>164</v>
      </c>
      <c r="C719" s="1381"/>
      <c r="D719" s="1381"/>
      <c r="E719" s="1381"/>
      <c r="F719" s="1382"/>
      <c r="G719" s="1478">
        <v>47</v>
      </c>
      <c r="H719" s="1479"/>
      <c r="I719" s="1479"/>
      <c r="J719" s="1480"/>
      <c r="K719" s="1475">
        <v>730</v>
      </c>
      <c r="L719" s="1476"/>
      <c r="M719" s="1476"/>
      <c r="N719" s="1477"/>
      <c r="O719" s="1472">
        <v>1861</v>
      </c>
      <c r="P719" s="1473"/>
      <c r="Q719" s="1473"/>
      <c r="R719" s="1473"/>
      <c r="S719" s="1474"/>
      <c r="T719" s="1472"/>
      <c r="U719" s="1473"/>
      <c r="V719" s="1473"/>
      <c r="W719" s="1474"/>
      <c r="X719" s="1490">
        <f t="shared" si="49"/>
        <v>1861</v>
      </c>
      <c r="Y719" s="1491"/>
      <c r="Z719" s="1491"/>
      <c r="AA719" s="1491"/>
      <c r="AB719" s="1492"/>
      <c r="AC719" s="1570">
        <v>0.6</v>
      </c>
      <c r="AD719" s="1571"/>
      <c r="AE719" s="1571"/>
      <c r="AF719" s="1571"/>
      <c r="AG719" s="1572"/>
      <c r="AH719" s="1566">
        <f t="shared" si="50"/>
        <v>0.59993552546744033</v>
      </c>
      <c r="AI719" s="1567"/>
      <c r="AJ719" s="1568"/>
      <c r="AK719" s="1380" t="s">
        <v>601</v>
      </c>
      <c r="AL719" s="1381"/>
      <c r="AM719" s="1381"/>
      <c r="AN719" s="1381"/>
      <c r="AO719" s="1382"/>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B720" s="1380" t="s">
        <v>165</v>
      </c>
      <c r="C720" s="1381"/>
      <c r="D720" s="1381"/>
      <c r="E720" s="1381"/>
      <c r="F720" s="1382"/>
      <c r="G720" s="1478">
        <v>6</v>
      </c>
      <c r="H720" s="1479"/>
      <c r="I720" s="1479"/>
      <c r="J720" s="1480"/>
      <c r="K720" s="1475">
        <v>1054</v>
      </c>
      <c r="L720" s="1476"/>
      <c r="M720" s="1476"/>
      <c r="N720" s="1477"/>
      <c r="O720" s="1472">
        <v>1075</v>
      </c>
      <c r="P720" s="1473"/>
      <c r="Q720" s="1473"/>
      <c r="R720" s="1473"/>
      <c r="S720" s="1474"/>
      <c r="T720" s="1472"/>
      <c r="U720" s="1473"/>
      <c r="V720" s="1473"/>
      <c r="W720" s="1474"/>
      <c r="X720" s="1490">
        <f t="shared" si="49"/>
        <v>1075</v>
      </c>
      <c r="Y720" s="1491"/>
      <c r="Z720" s="1491"/>
      <c r="AA720" s="1491"/>
      <c r="AB720" s="1492"/>
      <c r="AC720" s="1570">
        <v>0.3</v>
      </c>
      <c r="AD720" s="1571"/>
      <c r="AE720" s="1571"/>
      <c r="AF720" s="1571"/>
      <c r="AG720" s="1572"/>
      <c r="AH720" s="1566">
        <f t="shared" si="50"/>
        <v>0.30011166945840312</v>
      </c>
      <c r="AI720" s="1567"/>
      <c r="AJ720" s="1568"/>
      <c r="AK720" s="1380" t="s">
        <v>601</v>
      </c>
      <c r="AL720" s="1381"/>
      <c r="AM720" s="1381"/>
      <c r="AN720" s="1381"/>
      <c r="AO720" s="1382"/>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 customHeight="1">
      <c r="B721" s="1380" t="s">
        <v>165</v>
      </c>
      <c r="C721" s="1381"/>
      <c r="D721" s="1381"/>
      <c r="E721" s="1381"/>
      <c r="F721" s="1382"/>
      <c r="G721" s="1478">
        <v>6</v>
      </c>
      <c r="H721" s="1479"/>
      <c r="I721" s="1479"/>
      <c r="J721" s="1480"/>
      <c r="K721" s="1475">
        <v>1054</v>
      </c>
      <c r="L721" s="1476"/>
      <c r="M721" s="1476"/>
      <c r="N721" s="1477"/>
      <c r="O721" s="1472">
        <v>1791</v>
      </c>
      <c r="P721" s="1473"/>
      <c r="Q721" s="1473"/>
      <c r="R721" s="1473"/>
      <c r="S721" s="1474"/>
      <c r="T721" s="1472"/>
      <c r="U721" s="1473"/>
      <c r="V721" s="1473"/>
      <c r="W721" s="1474"/>
      <c r="X721" s="1490">
        <f t="shared" si="49"/>
        <v>1791</v>
      </c>
      <c r="Y721" s="1491"/>
      <c r="Z721" s="1491"/>
      <c r="AA721" s="1491"/>
      <c r="AB721" s="1492"/>
      <c r="AC721" s="1570">
        <v>0.5</v>
      </c>
      <c r="AD721" s="1571"/>
      <c r="AE721" s="1571"/>
      <c r="AF721" s="1571"/>
      <c r="AG721" s="1572"/>
      <c r="AH721" s="1566">
        <f t="shared" si="50"/>
        <v>0.5</v>
      </c>
      <c r="AI721" s="1567"/>
      <c r="AJ721" s="1568"/>
      <c r="AK721" s="1380" t="s">
        <v>601</v>
      </c>
      <c r="AL721" s="1381"/>
      <c r="AM721" s="1381"/>
      <c r="AN721" s="1381"/>
      <c r="AO721" s="1382"/>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 customHeight="1">
      <c r="B722" s="1380" t="s">
        <v>165</v>
      </c>
      <c r="C722" s="1381"/>
      <c r="D722" s="1381"/>
      <c r="E722" s="1381"/>
      <c r="F722" s="1382"/>
      <c r="G722" s="1478">
        <v>48</v>
      </c>
      <c r="H722" s="1479"/>
      <c r="I722" s="1479"/>
      <c r="J722" s="1480"/>
      <c r="K722" s="1475">
        <v>1054</v>
      </c>
      <c r="L722" s="1476"/>
      <c r="M722" s="1476"/>
      <c r="N722" s="1477"/>
      <c r="O722" s="1472">
        <v>2150</v>
      </c>
      <c r="P722" s="1473"/>
      <c r="Q722" s="1473"/>
      <c r="R722" s="1473"/>
      <c r="S722" s="1474"/>
      <c r="T722" s="1472"/>
      <c r="U722" s="1473"/>
      <c r="V722" s="1473"/>
      <c r="W722" s="1474"/>
      <c r="X722" s="1490">
        <f t="shared" si="49"/>
        <v>2150</v>
      </c>
      <c r="Y722" s="1491"/>
      <c r="Z722" s="1491"/>
      <c r="AA722" s="1491"/>
      <c r="AB722" s="1492"/>
      <c r="AC722" s="1570">
        <v>0.6</v>
      </c>
      <c r="AD722" s="1571"/>
      <c r="AE722" s="1571"/>
      <c r="AF722" s="1571"/>
      <c r="AG722" s="1572"/>
      <c r="AH722" s="1566">
        <f t="shared" si="50"/>
        <v>0.60022333891680624</v>
      </c>
      <c r="AI722" s="1567"/>
      <c r="AJ722" s="1568"/>
      <c r="AK722" s="1380" t="s">
        <v>601</v>
      </c>
      <c r="AL722" s="1381"/>
      <c r="AM722" s="1381"/>
      <c r="AN722" s="1381"/>
      <c r="AO722" s="1382"/>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 customHeight="1">
      <c r="A723" s="4"/>
      <c r="B723" s="1380"/>
      <c r="C723" s="1381"/>
      <c r="D723" s="1381"/>
      <c r="E723" s="1381"/>
      <c r="F723" s="1382"/>
      <c r="G723" s="1478"/>
      <c r="H723" s="1479"/>
      <c r="I723" s="1479"/>
      <c r="J723" s="1480"/>
      <c r="K723" s="1475"/>
      <c r="L723" s="1476"/>
      <c r="M723" s="1476"/>
      <c r="N723" s="1477"/>
      <c r="O723" s="1472"/>
      <c r="P723" s="1473"/>
      <c r="Q723" s="1473"/>
      <c r="R723" s="1473"/>
      <c r="S723" s="1474"/>
      <c r="T723" s="1472"/>
      <c r="U723" s="1473"/>
      <c r="V723" s="1473"/>
      <c r="W723" s="1474"/>
      <c r="X723" s="1490">
        <f t="shared" si="49"/>
        <v>0</v>
      </c>
      <c r="Y723" s="1491"/>
      <c r="Z723" s="1491"/>
      <c r="AA723" s="1491"/>
      <c r="AB723" s="1492"/>
      <c r="AC723" s="1570"/>
      <c r="AD723" s="1571"/>
      <c r="AE723" s="1571"/>
      <c r="AF723" s="1571"/>
      <c r="AG723" s="1572"/>
      <c r="AH723" s="1566" t="str">
        <f t="shared" si="50"/>
        <v xml:space="preserve"> </v>
      </c>
      <c r="AI723" s="1567"/>
      <c r="AJ723" s="1568"/>
      <c r="AK723" s="1380" t="s">
        <v>601</v>
      </c>
      <c r="AL723" s="1381"/>
      <c r="AM723" s="1381"/>
      <c r="AN723" s="1381"/>
      <c r="AO723" s="1382"/>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 customHeight="1">
      <c r="A724" s="4"/>
      <c r="B724" s="1380"/>
      <c r="C724" s="1381"/>
      <c r="D724" s="1381"/>
      <c r="E724" s="1381"/>
      <c r="F724" s="1382"/>
      <c r="G724" s="1478"/>
      <c r="H724" s="1479"/>
      <c r="I724" s="1479"/>
      <c r="J724" s="1480"/>
      <c r="K724" s="1475"/>
      <c r="L724" s="1476"/>
      <c r="M724" s="1476"/>
      <c r="N724" s="1477"/>
      <c r="O724" s="1472"/>
      <c r="P724" s="1473"/>
      <c r="Q724" s="1473"/>
      <c r="R724" s="1473"/>
      <c r="S724" s="1474"/>
      <c r="T724" s="1472"/>
      <c r="U724" s="1473"/>
      <c r="V724" s="1473"/>
      <c r="W724" s="1474"/>
      <c r="X724" s="1490">
        <f t="shared" si="49"/>
        <v>0</v>
      </c>
      <c r="Y724" s="1491"/>
      <c r="Z724" s="1491"/>
      <c r="AA724" s="1491"/>
      <c r="AB724" s="1492"/>
      <c r="AC724" s="1570"/>
      <c r="AD724" s="1571"/>
      <c r="AE724" s="1571"/>
      <c r="AF724" s="1571"/>
      <c r="AG724" s="1572"/>
      <c r="AH724" s="1566" t="str">
        <f t="shared" si="50"/>
        <v xml:space="preserve"> </v>
      </c>
      <c r="AI724" s="1567"/>
      <c r="AJ724" s="1568"/>
      <c r="AK724" s="1380" t="s">
        <v>601</v>
      </c>
      <c r="AL724" s="1381"/>
      <c r="AM724" s="1381"/>
      <c r="AN724" s="1381"/>
      <c r="AO724" s="1382"/>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 customHeight="1">
      <c r="A725" s="4"/>
      <c r="B725" s="1380"/>
      <c r="C725" s="1381"/>
      <c r="D725" s="1381"/>
      <c r="E725" s="1381"/>
      <c r="F725" s="1382"/>
      <c r="G725" s="1478"/>
      <c r="H725" s="1479"/>
      <c r="I725" s="1479"/>
      <c r="J725" s="1480"/>
      <c r="K725" s="1475"/>
      <c r="L725" s="1476"/>
      <c r="M725" s="1476"/>
      <c r="N725" s="1477"/>
      <c r="O725" s="1472"/>
      <c r="P725" s="1473"/>
      <c r="Q725" s="1473"/>
      <c r="R725" s="1473"/>
      <c r="S725" s="1474"/>
      <c r="T725" s="1472"/>
      <c r="U725" s="1473"/>
      <c r="V725" s="1473"/>
      <c r="W725" s="1474"/>
      <c r="X725" s="1490">
        <f t="shared" si="49"/>
        <v>0</v>
      </c>
      <c r="Y725" s="1491"/>
      <c r="Z725" s="1491"/>
      <c r="AA725" s="1491"/>
      <c r="AB725" s="1492"/>
      <c r="AC725" s="1570"/>
      <c r="AD725" s="1571"/>
      <c r="AE725" s="1571"/>
      <c r="AF725" s="1571"/>
      <c r="AG725" s="1572"/>
      <c r="AH725" s="1566" t="str">
        <f t="shared" si="50"/>
        <v xml:space="preserve"> </v>
      </c>
      <c r="AI725" s="1567"/>
      <c r="AJ725" s="1568"/>
      <c r="AK725" s="1380" t="s">
        <v>601</v>
      </c>
      <c r="AL725" s="1381"/>
      <c r="AM725" s="1381"/>
      <c r="AN725" s="1381"/>
      <c r="AO725" s="1382"/>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 customHeight="1">
      <c r="B726" s="1380"/>
      <c r="C726" s="1381"/>
      <c r="D726" s="1381"/>
      <c r="E726" s="1381"/>
      <c r="F726" s="1382"/>
      <c r="G726" s="1478"/>
      <c r="H726" s="1479"/>
      <c r="I726" s="1479"/>
      <c r="J726" s="1480"/>
      <c r="K726" s="1475"/>
      <c r="L726" s="1476"/>
      <c r="M726" s="1476"/>
      <c r="N726" s="1477"/>
      <c r="O726" s="1472"/>
      <c r="P726" s="1473"/>
      <c r="Q726" s="1473"/>
      <c r="R726" s="1473"/>
      <c r="S726" s="1474"/>
      <c r="T726" s="1472"/>
      <c r="U726" s="1473"/>
      <c r="V726" s="1473"/>
      <c r="W726" s="1474"/>
      <c r="X726" s="1490">
        <f t="shared" si="49"/>
        <v>0</v>
      </c>
      <c r="Y726" s="1491"/>
      <c r="Z726" s="1491"/>
      <c r="AA726" s="1491"/>
      <c r="AB726" s="1492"/>
      <c r="AC726" s="1570"/>
      <c r="AD726" s="1571"/>
      <c r="AE726" s="1571"/>
      <c r="AF726" s="1571"/>
      <c r="AG726" s="1572"/>
      <c r="AH726" s="1566" t="str">
        <f t="shared" si="50"/>
        <v xml:space="preserve"> </v>
      </c>
      <c r="AI726" s="1567"/>
      <c r="AJ726" s="1568"/>
      <c r="AK726" s="1380" t="s">
        <v>601</v>
      </c>
      <c r="AL726" s="1381"/>
      <c r="AM726" s="1381"/>
      <c r="AN726" s="1381"/>
      <c r="AO726" s="1382"/>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 customHeight="1">
      <c r="B727" s="1380"/>
      <c r="C727" s="1381"/>
      <c r="D727" s="1381"/>
      <c r="E727" s="1381"/>
      <c r="F727" s="1382"/>
      <c r="G727" s="1478"/>
      <c r="H727" s="1479"/>
      <c r="I727" s="1479"/>
      <c r="J727" s="1480"/>
      <c r="K727" s="1475"/>
      <c r="L727" s="1476"/>
      <c r="M727" s="1476"/>
      <c r="N727" s="1477"/>
      <c r="O727" s="1472"/>
      <c r="P727" s="1473"/>
      <c r="Q727" s="1473"/>
      <c r="R727" s="1473"/>
      <c r="S727" s="1474"/>
      <c r="T727" s="1472"/>
      <c r="U727" s="1473"/>
      <c r="V727" s="1473"/>
      <c r="W727" s="1474"/>
      <c r="X727" s="1490">
        <f t="shared" si="49"/>
        <v>0</v>
      </c>
      <c r="Y727" s="1491"/>
      <c r="Z727" s="1491"/>
      <c r="AA727" s="1491"/>
      <c r="AB727" s="1492"/>
      <c r="AC727" s="1570">
        <v>0</v>
      </c>
      <c r="AD727" s="1571"/>
      <c r="AE727" s="1571"/>
      <c r="AF727" s="1571"/>
      <c r="AG727" s="1572"/>
      <c r="AH727" s="1566" t="str">
        <f t="shared" si="50"/>
        <v xml:space="preserve"> </v>
      </c>
      <c r="AI727" s="1567"/>
      <c r="AJ727" s="1568"/>
      <c r="AK727" s="1380" t="s">
        <v>601</v>
      </c>
      <c r="AL727" s="1381"/>
      <c r="AM727" s="1381"/>
      <c r="AN727" s="1381"/>
      <c r="AO727" s="1382"/>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 customHeight="1">
      <c r="B728" s="1380"/>
      <c r="C728" s="1381"/>
      <c r="D728" s="1381"/>
      <c r="E728" s="1381"/>
      <c r="F728" s="1382"/>
      <c r="G728" s="1478"/>
      <c r="H728" s="1479"/>
      <c r="I728" s="1479"/>
      <c r="J728" s="1480"/>
      <c r="K728" s="1475"/>
      <c r="L728" s="1476"/>
      <c r="M728" s="1476"/>
      <c r="N728" s="1477"/>
      <c r="O728" s="1472"/>
      <c r="P728" s="1473"/>
      <c r="Q728" s="1473"/>
      <c r="R728" s="1473"/>
      <c r="S728" s="1474"/>
      <c r="T728" s="1472"/>
      <c r="U728" s="1473"/>
      <c r="V728" s="1473"/>
      <c r="W728" s="1474"/>
      <c r="X728" s="1490">
        <f t="shared" si="49"/>
        <v>0</v>
      </c>
      <c r="Y728" s="1491"/>
      <c r="Z728" s="1491"/>
      <c r="AA728" s="1491"/>
      <c r="AB728" s="1492"/>
      <c r="AC728" s="1570">
        <v>0</v>
      </c>
      <c r="AD728" s="1571"/>
      <c r="AE728" s="1571"/>
      <c r="AF728" s="1571"/>
      <c r="AG728" s="1572"/>
      <c r="AH728" s="1566" t="str">
        <f t="shared" si="50"/>
        <v xml:space="preserve"> </v>
      </c>
      <c r="AI728" s="1567"/>
      <c r="AJ728" s="1568"/>
      <c r="AK728" s="1380" t="s">
        <v>601</v>
      </c>
      <c r="AL728" s="1381"/>
      <c r="AM728" s="1381"/>
      <c r="AN728" s="1381"/>
      <c r="AO728" s="1382"/>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 customHeight="1">
      <c r="B729" s="1380"/>
      <c r="C729" s="1381"/>
      <c r="D729" s="1381"/>
      <c r="E729" s="1381"/>
      <c r="F729" s="1382"/>
      <c r="G729" s="1478"/>
      <c r="H729" s="1479"/>
      <c r="I729" s="1479"/>
      <c r="J729" s="1480"/>
      <c r="K729" s="1475"/>
      <c r="L729" s="1476"/>
      <c r="M729" s="1476"/>
      <c r="N729" s="1477"/>
      <c r="O729" s="1472"/>
      <c r="P729" s="1473"/>
      <c r="Q729" s="1473"/>
      <c r="R729" s="1473"/>
      <c r="S729" s="1474"/>
      <c r="T729" s="1472"/>
      <c r="U729" s="1473"/>
      <c r="V729" s="1473"/>
      <c r="W729" s="1474"/>
      <c r="X729" s="1490">
        <f t="shared" si="49"/>
        <v>0</v>
      </c>
      <c r="Y729" s="1491"/>
      <c r="Z729" s="1491"/>
      <c r="AA729" s="1491"/>
      <c r="AB729" s="1492"/>
      <c r="AC729" s="1570">
        <v>0</v>
      </c>
      <c r="AD729" s="1571"/>
      <c r="AE729" s="1571"/>
      <c r="AF729" s="1571"/>
      <c r="AG729" s="1572"/>
      <c r="AH729" s="1566" t="str">
        <f t="shared" si="50"/>
        <v xml:space="preserve"> </v>
      </c>
      <c r="AI729" s="1567"/>
      <c r="AJ729" s="1568"/>
      <c r="AK729" s="1380" t="s">
        <v>601</v>
      </c>
      <c r="AL729" s="1381"/>
      <c r="AM729" s="1381"/>
      <c r="AN729" s="1381"/>
      <c r="AO729" s="1382"/>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 customHeight="1">
      <c r="B730" s="1380"/>
      <c r="C730" s="1381"/>
      <c r="D730" s="1381"/>
      <c r="E730" s="1381"/>
      <c r="F730" s="1382"/>
      <c r="G730" s="1478"/>
      <c r="H730" s="1479"/>
      <c r="I730" s="1479"/>
      <c r="J730" s="1480"/>
      <c r="K730" s="1475"/>
      <c r="L730" s="1476"/>
      <c r="M730" s="1476"/>
      <c r="N730" s="1477"/>
      <c r="O730" s="1472"/>
      <c r="P730" s="1473"/>
      <c r="Q730" s="1473"/>
      <c r="R730" s="1473"/>
      <c r="S730" s="1474"/>
      <c r="T730" s="1472"/>
      <c r="U730" s="1473"/>
      <c r="V730" s="1473"/>
      <c r="W730" s="1474"/>
      <c r="X730" s="1490">
        <f t="shared" si="49"/>
        <v>0</v>
      </c>
      <c r="Y730" s="1491"/>
      <c r="Z730" s="1491"/>
      <c r="AA730" s="1491"/>
      <c r="AB730" s="1492"/>
      <c r="AC730" s="1570">
        <v>0</v>
      </c>
      <c r="AD730" s="1571"/>
      <c r="AE730" s="1571"/>
      <c r="AF730" s="1571"/>
      <c r="AG730" s="1572"/>
      <c r="AH730" s="1566" t="str">
        <f t="shared" si="50"/>
        <v xml:space="preserve"> </v>
      </c>
      <c r="AI730" s="1567"/>
      <c r="AJ730" s="1568"/>
      <c r="AK730" s="1380" t="s">
        <v>601</v>
      </c>
      <c r="AL730" s="1381"/>
      <c r="AM730" s="1381"/>
      <c r="AN730" s="1381"/>
      <c r="AO730" s="1382"/>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 customHeight="1">
      <c r="B731" s="1380"/>
      <c r="C731" s="1381"/>
      <c r="D731" s="1381"/>
      <c r="E731" s="1381"/>
      <c r="F731" s="1382"/>
      <c r="G731" s="1478"/>
      <c r="H731" s="1479"/>
      <c r="I731" s="1479"/>
      <c r="J731" s="1480"/>
      <c r="K731" s="1475"/>
      <c r="L731" s="1476"/>
      <c r="M731" s="1476"/>
      <c r="N731" s="1477"/>
      <c r="O731" s="1472"/>
      <c r="P731" s="1473"/>
      <c r="Q731" s="1473"/>
      <c r="R731" s="1473"/>
      <c r="S731" s="1474"/>
      <c r="T731" s="1472"/>
      <c r="U731" s="1473"/>
      <c r="V731" s="1473"/>
      <c r="W731" s="1474"/>
      <c r="X731" s="1490">
        <f t="shared" si="49"/>
        <v>0</v>
      </c>
      <c r="Y731" s="1491"/>
      <c r="Z731" s="1491"/>
      <c r="AA731" s="1491"/>
      <c r="AB731" s="1492"/>
      <c r="AC731" s="1570">
        <v>0</v>
      </c>
      <c r="AD731" s="1571"/>
      <c r="AE731" s="1571"/>
      <c r="AF731" s="1571"/>
      <c r="AG731" s="1572"/>
      <c r="AH731" s="1566" t="str">
        <f t="shared" si="50"/>
        <v xml:space="preserve"> </v>
      </c>
      <c r="AI731" s="1567"/>
      <c r="AJ731" s="1568"/>
      <c r="AK731" s="1380" t="s">
        <v>601</v>
      </c>
      <c r="AL731" s="1381"/>
      <c r="AM731" s="1381"/>
      <c r="AN731" s="1381"/>
      <c r="AO731" s="1382"/>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 customHeight="1">
      <c r="B732" s="1380"/>
      <c r="C732" s="1381"/>
      <c r="D732" s="1381"/>
      <c r="E732" s="1381"/>
      <c r="F732" s="1382"/>
      <c r="G732" s="1478"/>
      <c r="H732" s="1479"/>
      <c r="I732" s="1479"/>
      <c r="J732" s="1480"/>
      <c r="K732" s="1475"/>
      <c r="L732" s="1476"/>
      <c r="M732" s="1476"/>
      <c r="N732" s="1477"/>
      <c r="O732" s="1472"/>
      <c r="P732" s="1473"/>
      <c r="Q732" s="1473"/>
      <c r="R732" s="1473"/>
      <c r="S732" s="1474"/>
      <c r="T732" s="1472"/>
      <c r="U732" s="1473"/>
      <c r="V732" s="1473"/>
      <c r="W732" s="1474"/>
      <c r="X732" s="1490">
        <f t="shared" si="49"/>
        <v>0</v>
      </c>
      <c r="Y732" s="1491"/>
      <c r="Z732" s="1491"/>
      <c r="AA732" s="1491"/>
      <c r="AB732" s="1492"/>
      <c r="AC732" s="1570">
        <v>0</v>
      </c>
      <c r="AD732" s="1571"/>
      <c r="AE732" s="1571"/>
      <c r="AF732" s="1571"/>
      <c r="AG732" s="1572"/>
      <c r="AH732" s="1566" t="str">
        <f t="shared" si="50"/>
        <v xml:space="preserve"> </v>
      </c>
      <c r="AI732" s="1567"/>
      <c r="AJ732" s="1568"/>
      <c r="AK732" s="1380" t="s">
        <v>601</v>
      </c>
      <c r="AL732" s="1381"/>
      <c r="AM732" s="1381"/>
      <c r="AN732" s="1381"/>
      <c r="AO732" s="1382"/>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 customHeight="1">
      <c r="B733" s="1380"/>
      <c r="C733" s="1381"/>
      <c r="D733" s="1381"/>
      <c r="E733" s="1381"/>
      <c r="F733" s="1382"/>
      <c r="G733" s="1478"/>
      <c r="H733" s="1479"/>
      <c r="I733" s="1479"/>
      <c r="J733" s="1480"/>
      <c r="K733" s="1475"/>
      <c r="L733" s="1476"/>
      <c r="M733" s="1476"/>
      <c r="N733" s="1477"/>
      <c r="O733" s="1472"/>
      <c r="P733" s="1473"/>
      <c r="Q733" s="1473"/>
      <c r="R733" s="1473"/>
      <c r="S733" s="1474"/>
      <c r="T733" s="1472"/>
      <c r="U733" s="1473"/>
      <c r="V733" s="1473"/>
      <c r="W733" s="1474"/>
      <c r="X733" s="1490">
        <f t="shared" si="49"/>
        <v>0</v>
      </c>
      <c r="Y733" s="1491"/>
      <c r="Z733" s="1491"/>
      <c r="AA733" s="1491"/>
      <c r="AB733" s="1492"/>
      <c r="AC733" s="1570">
        <v>0</v>
      </c>
      <c r="AD733" s="1571"/>
      <c r="AE733" s="1571"/>
      <c r="AF733" s="1571"/>
      <c r="AG733" s="1572"/>
      <c r="AH733" s="1566" t="str">
        <f t="shared" si="50"/>
        <v xml:space="preserve"> </v>
      </c>
      <c r="AI733" s="1567"/>
      <c r="AJ733" s="1568"/>
      <c r="AK733" s="1380" t="s">
        <v>601</v>
      </c>
      <c r="AL733" s="1381"/>
      <c r="AM733" s="1381"/>
      <c r="AN733" s="1381"/>
      <c r="AO733" s="1382"/>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 customHeight="1">
      <c r="B734" s="1380"/>
      <c r="C734" s="1381"/>
      <c r="D734" s="1381"/>
      <c r="E734" s="1381"/>
      <c r="F734" s="1382"/>
      <c r="G734" s="1478"/>
      <c r="H734" s="1479"/>
      <c r="I734" s="1479"/>
      <c r="J734" s="1480"/>
      <c r="K734" s="1475"/>
      <c r="L734" s="1476"/>
      <c r="M734" s="1476"/>
      <c r="N734" s="1477"/>
      <c r="O734" s="1472"/>
      <c r="P734" s="1473"/>
      <c r="Q734" s="1473"/>
      <c r="R734" s="1473"/>
      <c r="S734" s="1474"/>
      <c r="T734" s="1472"/>
      <c r="U734" s="1473"/>
      <c r="V734" s="1473"/>
      <c r="W734" s="1474"/>
      <c r="X734" s="1490">
        <f t="shared" si="49"/>
        <v>0</v>
      </c>
      <c r="Y734" s="1491"/>
      <c r="Z734" s="1491"/>
      <c r="AA734" s="1491"/>
      <c r="AB734" s="1492"/>
      <c r="AC734" s="1570">
        <v>0</v>
      </c>
      <c r="AD734" s="1571"/>
      <c r="AE734" s="1571"/>
      <c r="AF734" s="1571"/>
      <c r="AG734" s="1572"/>
      <c r="AH734" s="1566" t="str">
        <f t="shared" si="50"/>
        <v xml:space="preserve"> </v>
      </c>
      <c r="AI734" s="1567"/>
      <c r="AJ734" s="1568"/>
      <c r="AK734" s="1380" t="s">
        <v>601</v>
      </c>
      <c r="AL734" s="1381"/>
      <c r="AM734" s="1381"/>
      <c r="AN734" s="1381"/>
      <c r="AO734" s="1382"/>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 customHeight="1">
      <c r="B735" s="1380"/>
      <c r="C735" s="1381"/>
      <c r="D735" s="1381"/>
      <c r="E735" s="1381"/>
      <c r="F735" s="1382"/>
      <c r="G735" s="1478"/>
      <c r="H735" s="1479"/>
      <c r="I735" s="1479"/>
      <c r="J735" s="1480"/>
      <c r="K735" s="1475"/>
      <c r="L735" s="1476"/>
      <c r="M735" s="1476"/>
      <c r="N735" s="1477"/>
      <c r="O735" s="1472"/>
      <c r="P735" s="1473"/>
      <c r="Q735" s="1473"/>
      <c r="R735" s="1473"/>
      <c r="S735" s="1474"/>
      <c r="T735" s="1472"/>
      <c r="U735" s="1473"/>
      <c r="V735" s="1473"/>
      <c r="W735" s="1474"/>
      <c r="X735" s="1490">
        <f t="shared" si="49"/>
        <v>0</v>
      </c>
      <c r="Y735" s="1491"/>
      <c r="Z735" s="1491"/>
      <c r="AA735" s="1491"/>
      <c r="AB735" s="1492"/>
      <c r="AC735" s="1570">
        <v>0</v>
      </c>
      <c r="AD735" s="1571"/>
      <c r="AE735" s="1571"/>
      <c r="AF735" s="1571"/>
      <c r="AG735" s="1572"/>
      <c r="AH735" s="1566" t="str">
        <f t="shared" si="50"/>
        <v xml:space="preserve"> </v>
      </c>
      <c r="AI735" s="1567"/>
      <c r="AJ735" s="1568"/>
      <c r="AK735" s="1380" t="s">
        <v>601</v>
      </c>
      <c r="AL735" s="1381"/>
      <c r="AM735" s="1381"/>
      <c r="AN735" s="1381"/>
      <c r="AO735" s="1382"/>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 customHeight="1">
      <c r="B736" s="1380"/>
      <c r="C736" s="1381"/>
      <c r="D736" s="1381"/>
      <c r="E736" s="1381"/>
      <c r="F736" s="1382"/>
      <c r="G736" s="1478"/>
      <c r="H736" s="1479"/>
      <c r="I736" s="1479"/>
      <c r="J736" s="1480"/>
      <c r="K736" s="1475"/>
      <c r="L736" s="1476"/>
      <c r="M736" s="1476"/>
      <c r="N736" s="1477"/>
      <c r="O736" s="1472"/>
      <c r="P736" s="1473"/>
      <c r="Q736" s="1473"/>
      <c r="R736" s="1473"/>
      <c r="S736" s="1474"/>
      <c r="T736" s="1472"/>
      <c r="U736" s="1473"/>
      <c r="V736" s="1473"/>
      <c r="W736" s="1474"/>
      <c r="X736" s="1490">
        <f t="shared" si="49"/>
        <v>0</v>
      </c>
      <c r="Y736" s="1491"/>
      <c r="Z736" s="1491"/>
      <c r="AA736" s="1491"/>
      <c r="AB736" s="1492"/>
      <c r="AC736" s="1570">
        <v>0</v>
      </c>
      <c r="AD736" s="1571"/>
      <c r="AE736" s="1571"/>
      <c r="AF736" s="1571"/>
      <c r="AG736" s="1572"/>
      <c r="AH736" s="1566" t="str">
        <f t="shared" si="50"/>
        <v xml:space="preserve"> </v>
      </c>
      <c r="AI736" s="1567"/>
      <c r="AJ736" s="1568"/>
      <c r="AK736" s="1380" t="s">
        <v>601</v>
      </c>
      <c r="AL736" s="1381"/>
      <c r="AM736" s="1381"/>
      <c r="AN736" s="1381"/>
      <c r="AO736" s="1382"/>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 customHeight="1">
      <c r="B737" s="1380"/>
      <c r="C737" s="1381"/>
      <c r="D737" s="1381"/>
      <c r="E737" s="1381"/>
      <c r="F737" s="1382"/>
      <c r="G737" s="1478"/>
      <c r="H737" s="1479"/>
      <c r="I737" s="1479"/>
      <c r="J737" s="1480"/>
      <c r="K737" s="1475"/>
      <c r="L737" s="1476"/>
      <c r="M737" s="1476"/>
      <c r="N737" s="1477"/>
      <c r="O737" s="1472"/>
      <c r="P737" s="1473"/>
      <c r="Q737" s="1473"/>
      <c r="R737" s="1473"/>
      <c r="S737" s="1474"/>
      <c r="T737" s="1472"/>
      <c r="U737" s="1473"/>
      <c r="V737" s="1473"/>
      <c r="W737" s="1474"/>
      <c r="X737" s="1490">
        <f t="shared" si="49"/>
        <v>0</v>
      </c>
      <c r="Y737" s="1491"/>
      <c r="Z737" s="1491"/>
      <c r="AA737" s="1491"/>
      <c r="AB737" s="1492"/>
      <c r="AC737" s="1570">
        <v>0</v>
      </c>
      <c r="AD737" s="1571"/>
      <c r="AE737" s="1571"/>
      <c r="AF737" s="1571"/>
      <c r="AG737" s="1572"/>
      <c r="AH737" s="1566" t="str">
        <f t="shared" si="50"/>
        <v xml:space="preserve"> </v>
      </c>
      <c r="AI737" s="1567"/>
      <c r="AJ737" s="1568"/>
      <c r="AK737" s="1380" t="s">
        <v>601</v>
      </c>
      <c r="AL737" s="1381"/>
      <c r="AM737" s="1381"/>
      <c r="AN737" s="1381"/>
      <c r="AO737" s="1382"/>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 customHeight="1">
      <c r="B738" s="1380"/>
      <c r="C738" s="1381"/>
      <c r="D738" s="1381"/>
      <c r="E738" s="1381"/>
      <c r="F738" s="1382"/>
      <c r="G738" s="1478"/>
      <c r="H738" s="1479"/>
      <c r="I738" s="1479"/>
      <c r="J738" s="1480"/>
      <c r="K738" s="1475"/>
      <c r="L738" s="1476"/>
      <c r="M738" s="1476"/>
      <c r="N738" s="1477"/>
      <c r="O738" s="1472"/>
      <c r="P738" s="1473"/>
      <c r="Q738" s="1473"/>
      <c r="R738" s="1473"/>
      <c r="S738" s="1474"/>
      <c r="T738" s="1472"/>
      <c r="U738" s="1473"/>
      <c r="V738" s="1473"/>
      <c r="W738" s="1474"/>
      <c r="X738" s="1490">
        <f t="shared" si="49"/>
        <v>0</v>
      </c>
      <c r="Y738" s="1491"/>
      <c r="Z738" s="1491"/>
      <c r="AA738" s="1491"/>
      <c r="AB738" s="1492"/>
      <c r="AC738" s="1570">
        <v>0</v>
      </c>
      <c r="AD738" s="1571"/>
      <c r="AE738" s="1571"/>
      <c r="AF738" s="1571"/>
      <c r="AG738" s="1572"/>
      <c r="AH738" s="1566" t="str">
        <f t="shared" si="50"/>
        <v xml:space="preserve"> </v>
      </c>
      <c r="AI738" s="1567"/>
      <c r="AJ738" s="1568"/>
      <c r="AK738" s="1380" t="s">
        <v>601</v>
      </c>
      <c r="AL738" s="1381"/>
      <c r="AM738" s="1381"/>
      <c r="AN738" s="1381"/>
      <c r="AO738" s="1382"/>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 customHeight="1">
      <c r="B739" s="1517" t="s">
        <v>126</v>
      </c>
      <c r="C739" s="1518"/>
      <c r="D739" s="1518"/>
      <c r="E739" s="1518"/>
      <c r="F739" s="1520"/>
      <c r="G739" s="1748">
        <f>SUM(G714:J738)</f>
        <v>226</v>
      </c>
      <c r="H739" s="1749"/>
      <c r="I739" s="1749"/>
      <c r="J739" s="1750"/>
      <c r="K739" s="939" t="s">
        <v>125</v>
      </c>
      <c r="L739" s="5"/>
      <c r="M739" s="5"/>
      <c r="N739" s="46"/>
      <c r="O739" s="1490">
        <f>SUMPRODUCT(G714:G738,O714:O738)</f>
        <v>376700</v>
      </c>
      <c r="P739" s="1491"/>
      <c r="Q739" s="1491"/>
      <c r="R739" s="1491"/>
      <c r="S739" s="1492"/>
      <c r="X739" s="941" t="s">
        <v>933</v>
      </c>
      <c r="Y739" s="940"/>
      <c r="Z739" s="940"/>
      <c r="AA739" s="940"/>
      <c r="AB739" s="942"/>
      <c r="AC739" s="1692">
        <f>BI682</f>
        <v>0.55752212389380529</v>
      </c>
      <c r="AD739" s="1693"/>
      <c r="AE739" s="1693"/>
      <c r="AF739" s="1693"/>
      <c r="AG739" s="1694"/>
      <c r="AH739" s="1692">
        <f>BI714</f>
        <v>0.55763463304944538</v>
      </c>
      <c r="AI739" s="1693"/>
      <c r="AJ739" s="1694"/>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 customHeight="1">
      <c r="B740" s="1493" t="s">
        <v>2256</v>
      </c>
      <c r="C740" s="1493"/>
      <c r="D740" s="1493"/>
      <c r="E740" s="1493"/>
      <c r="F740" s="1493"/>
      <c r="G740" s="1493"/>
      <c r="H740" s="1493"/>
      <c r="I740" s="1493"/>
      <c r="J740" s="1493"/>
      <c r="K740" s="1493"/>
      <c r="L740" s="1493"/>
      <c r="M740" s="1493"/>
      <c r="N740" s="1493"/>
      <c r="O740" s="1493"/>
      <c r="P740" s="1493"/>
      <c r="Q740" s="1493"/>
      <c r="R740" s="1493"/>
      <c r="S740" s="1493"/>
      <c r="T740" s="1493"/>
      <c r="U740" s="1493"/>
      <c r="V740" s="1493"/>
      <c r="W740" s="1493"/>
      <c r="X740" s="1493"/>
      <c r="Y740" s="1493"/>
      <c r="Z740" s="1493"/>
      <c r="AA740" s="1493"/>
      <c r="AB740" s="1493"/>
      <c r="AC740" s="1493"/>
      <c r="AD740" s="1493"/>
      <c r="AE740" s="1493"/>
      <c r="AF740" s="1493"/>
      <c r="AG740" s="1493"/>
      <c r="AH740" s="1493"/>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 customHeight="1">
      <c r="B741" s="1493"/>
      <c r="C741" s="1493"/>
      <c r="D741" s="1493"/>
      <c r="E741" s="1493"/>
      <c r="F741" s="1493"/>
      <c r="G741" s="1493"/>
      <c r="H741" s="1493"/>
      <c r="I741" s="1493"/>
      <c r="J741" s="1493"/>
      <c r="K741" s="1493"/>
      <c r="L741" s="1493"/>
      <c r="M741" s="1493"/>
      <c r="N741" s="1493"/>
      <c r="O741" s="1493"/>
      <c r="P741" s="1493"/>
      <c r="Q741" s="1493"/>
      <c r="R741" s="1493"/>
      <c r="S741" s="1493"/>
      <c r="T741" s="1493"/>
      <c r="U741" s="1493"/>
      <c r="V741" s="1493"/>
      <c r="W741" s="1493"/>
      <c r="X741" s="1493"/>
      <c r="Y741" s="1493"/>
      <c r="Z741" s="1493"/>
      <c r="AA741" s="1493"/>
      <c r="AB741" s="1493"/>
      <c r="AC741" s="1493"/>
      <c r="AD741" s="1493"/>
      <c r="AE741" s="1493"/>
      <c r="AF741" s="1493"/>
      <c r="AG741" s="1493"/>
      <c r="AH741" s="1493"/>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 customHeight="1">
      <c r="C742" s="118" t="s">
        <v>2254</v>
      </c>
      <c r="D742" s="1076"/>
      <c r="E742" s="1076"/>
      <c r="F742" s="1076"/>
      <c r="G742" s="1077"/>
      <c r="H742" s="1077"/>
      <c r="I742" s="1077"/>
      <c r="J742" s="1077"/>
      <c r="K742" s="1076"/>
      <c r="L742" s="1076"/>
      <c r="M742" s="1076"/>
      <c r="N742" s="1076"/>
      <c r="O742" s="1684">
        <f>CS623</f>
        <v>407</v>
      </c>
      <c r="P742" s="1684"/>
      <c r="Q742" s="1684"/>
      <c r="R742" s="1684"/>
      <c r="S742" s="1006"/>
      <c r="T742" s="1006"/>
      <c r="U742" s="118" t="s">
        <v>2255</v>
      </c>
      <c r="V742" s="1076"/>
      <c r="W742" s="1076"/>
      <c r="X742" s="1076"/>
      <c r="Y742" s="1077"/>
      <c r="Z742" s="1077"/>
      <c r="AA742" s="1077"/>
      <c r="AB742" s="1077"/>
      <c r="AC742" s="1076"/>
      <c r="AD742" s="1076"/>
      <c r="AE742" s="1076"/>
      <c r="AF742" s="1076"/>
      <c r="AG742" s="1685"/>
      <c r="AH742" s="1685"/>
      <c r="AI742" s="1685"/>
      <c r="AJ742" s="1685"/>
      <c r="AT742"/>
      <c r="AU742"/>
      <c r="AV742"/>
      <c r="AW742"/>
      <c r="AX742"/>
      <c r="AY742"/>
    </row>
    <row r="743" spans="1:16383" ht="12.9"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 customHeight="1">
      <c r="B744" s="3"/>
      <c r="C744" s="118" t="s">
        <v>2253</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65" t="s">
        <v>601</v>
      </c>
      <c r="AE744" s="1565"/>
      <c r="AF744" s="1565"/>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 customHeight="1">
      <c r="C745" s="1079" t="s">
        <v>2505</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 customHeight="1">
      <c r="B748" s="1076"/>
      <c r="C748" s="1267" t="s">
        <v>2506</v>
      </c>
      <c r="D748" s="1267"/>
      <c r="E748" s="1267"/>
      <c r="F748" s="1267"/>
      <c r="G748" s="1267"/>
      <c r="H748" s="1267"/>
      <c r="I748" s="1267"/>
      <c r="J748" s="1267"/>
      <c r="K748" s="1267"/>
      <c r="L748" s="1267"/>
      <c r="M748" s="1267"/>
      <c r="N748" s="1267"/>
      <c r="O748" s="1267"/>
      <c r="P748" s="1267"/>
      <c r="Q748" s="1267"/>
      <c r="R748" s="1267"/>
      <c r="S748" s="1267"/>
      <c r="T748" s="1267"/>
      <c r="U748" s="1267"/>
      <c r="V748" s="1267"/>
      <c r="W748" s="1267"/>
      <c r="X748" s="1267"/>
      <c r="Y748" s="1267"/>
      <c r="Z748" s="1267"/>
      <c r="AA748" s="1267"/>
      <c r="AB748" s="1267"/>
      <c r="AC748" s="1267"/>
      <c r="AD748" s="1267"/>
      <c r="AE748" s="1267"/>
      <c r="AF748" s="1267"/>
      <c r="AG748" s="1267"/>
      <c r="AH748" s="1267"/>
      <c r="AI748" s="1267"/>
      <c r="AJ748" s="1267"/>
      <c r="AK748" s="1267"/>
      <c r="AL748" s="1267"/>
      <c r="AM748" s="1267"/>
      <c r="AN748" s="1267"/>
      <c r="AO748" s="1267"/>
      <c r="AP748" s="1267"/>
      <c r="AQ748" s="1267"/>
      <c r="AR748" s="1267"/>
      <c r="AT748"/>
      <c r="AU748"/>
      <c r="AV748"/>
      <c r="AW748"/>
      <c r="AX748"/>
      <c r="AY748"/>
    </row>
    <row r="749" spans="1:16383" s="3" customFormat="1" ht="12.9" customHeight="1">
      <c r="B749" s="1076"/>
      <c r="C749" s="1267"/>
      <c r="D749" s="1267"/>
      <c r="E749" s="1267"/>
      <c r="F749" s="1267"/>
      <c r="G749" s="1267"/>
      <c r="H749" s="1267"/>
      <c r="I749" s="1267"/>
      <c r="J749" s="1267"/>
      <c r="K749" s="1267"/>
      <c r="L749" s="1267"/>
      <c r="M749" s="1267"/>
      <c r="N749" s="1267"/>
      <c r="O749" s="1267"/>
      <c r="P749" s="1267"/>
      <c r="Q749" s="1267"/>
      <c r="R749" s="1267"/>
      <c r="S749" s="1267"/>
      <c r="T749" s="1267"/>
      <c r="U749" s="1267"/>
      <c r="V749" s="1267"/>
      <c r="W749" s="1267"/>
      <c r="X749" s="1267"/>
      <c r="Y749" s="1267"/>
      <c r="Z749" s="1267"/>
      <c r="AA749" s="1267"/>
      <c r="AB749" s="1267"/>
      <c r="AC749" s="1267"/>
      <c r="AD749" s="1267"/>
      <c r="AE749" s="1267"/>
      <c r="AF749" s="1267"/>
      <c r="AG749" s="1267"/>
      <c r="AH749" s="1267"/>
      <c r="AI749" s="1267"/>
      <c r="AJ749" s="1267"/>
      <c r="AK749" s="1267"/>
      <c r="AL749" s="1267"/>
      <c r="AM749" s="1267"/>
      <c r="AN749" s="1267"/>
      <c r="AO749" s="1267"/>
      <c r="AP749" s="1267"/>
      <c r="AQ749" s="1267"/>
      <c r="AR749" s="1267"/>
      <c r="AT749"/>
      <c r="AU749"/>
      <c r="AV749"/>
      <c r="AW749"/>
      <c r="AX749"/>
      <c r="AY749"/>
    </row>
    <row r="750" spans="1:16383" s="3" customFormat="1" ht="12.9" customHeight="1">
      <c r="B750" s="1076"/>
      <c r="C750" s="1267"/>
      <c r="D750" s="1267"/>
      <c r="E750" s="1267"/>
      <c r="F750" s="1267"/>
      <c r="G750" s="1267"/>
      <c r="H750" s="1267"/>
      <c r="I750" s="1267"/>
      <c r="J750" s="1267"/>
      <c r="K750" s="1267"/>
      <c r="L750" s="1267"/>
      <c r="M750" s="1267"/>
      <c r="N750" s="1267"/>
      <c r="O750" s="1267"/>
      <c r="P750" s="1267"/>
      <c r="Q750" s="1267"/>
      <c r="R750" s="1267"/>
      <c r="S750" s="1267"/>
      <c r="T750" s="1267"/>
      <c r="U750" s="1267"/>
      <c r="V750" s="1267"/>
      <c r="W750" s="1267"/>
      <c r="X750" s="1267"/>
      <c r="Y750" s="1267"/>
      <c r="Z750" s="1267"/>
      <c r="AA750" s="1267"/>
      <c r="AB750" s="1267"/>
      <c r="AC750" s="1267"/>
      <c r="AD750" s="1267"/>
      <c r="AE750" s="1267"/>
      <c r="AF750" s="1267"/>
      <c r="AG750" s="1267"/>
      <c r="AH750" s="1267"/>
      <c r="AI750" s="1267"/>
      <c r="AJ750" s="1267"/>
      <c r="AK750" s="1267"/>
      <c r="AL750" s="1267"/>
      <c r="AM750" s="1267"/>
      <c r="AN750" s="1267"/>
      <c r="AO750" s="1267"/>
      <c r="AP750" s="1267"/>
      <c r="AQ750" s="1267"/>
      <c r="AR750" s="1267"/>
      <c r="AT750"/>
      <c r="AU750"/>
      <c r="AV750"/>
      <c r="AW750"/>
      <c r="AX750"/>
      <c r="AY750"/>
    </row>
    <row r="751" spans="1:16383" s="3" customFormat="1" ht="12.9" customHeight="1">
      <c r="B751" s="1076"/>
      <c r="C751" s="1267" t="s">
        <v>2507</v>
      </c>
      <c r="D751" s="1267"/>
      <c r="E751" s="1267"/>
      <c r="F751" s="1267"/>
      <c r="G751" s="1267"/>
      <c r="H751" s="1267"/>
      <c r="I751" s="1267"/>
      <c r="J751" s="1267"/>
      <c r="K751" s="1267"/>
      <c r="L751" s="1267"/>
      <c r="M751" s="1267"/>
      <c r="N751" s="1267"/>
      <c r="O751" s="1267"/>
      <c r="P751" s="1267"/>
      <c r="Q751" s="1267"/>
      <c r="R751" s="1267"/>
      <c r="S751" s="1267"/>
      <c r="T751" s="1267"/>
      <c r="U751" s="1267"/>
      <c r="V751" s="1267"/>
      <c r="W751" s="1267"/>
      <c r="X751" s="1267"/>
      <c r="Y751" s="1267"/>
      <c r="Z751" s="1267"/>
      <c r="AA751" s="1267"/>
      <c r="AB751" s="1267"/>
      <c r="AC751" s="1267"/>
      <c r="AD751" s="1267"/>
      <c r="AE751" s="1267"/>
      <c r="AF751" s="1267"/>
      <c r="AG751" s="1267"/>
      <c r="AH751" s="1267"/>
      <c r="AI751" s="1267"/>
      <c r="AJ751" s="1267"/>
      <c r="AK751" s="1267"/>
      <c r="AL751" s="1267"/>
      <c r="AM751" s="1267"/>
      <c r="AN751" s="1267"/>
      <c r="AO751" s="1267"/>
      <c r="AP751" s="1267"/>
      <c r="AQ751" s="1267"/>
      <c r="AR751" s="1267"/>
      <c r="AT751"/>
      <c r="AU751"/>
      <c r="AV751"/>
      <c r="AW751"/>
      <c r="AX751"/>
      <c r="AY751"/>
    </row>
    <row r="752" spans="1:16383" s="3" customFormat="1" ht="12.9" customHeight="1">
      <c r="B752" s="1076"/>
      <c r="C752" s="1267"/>
      <c r="D752" s="1267"/>
      <c r="E752" s="1267"/>
      <c r="F752" s="1267"/>
      <c r="G752" s="1267"/>
      <c r="H752" s="1267"/>
      <c r="I752" s="1267"/>
      <c r="J752" s="1267"/>
      <c r="K752" s="1267"/>
      <c r="L752" s="1267"/>
      <c r="M752" s="1267"/>
      <c r="N752" s="1267"/>
      <c r="O752" s="1267"/>
      <c r="P752" s="1267"/>
      <c r="Q752" s="1267"/>
      <c r="R752" s="1267"/>
      <c r="S752" s="1267"/>
      <c r="T752" s="1267"/>
      <c r="U752" s="1267"/>
      <c r="V752" s="1267"/>
      <c r="W752" s="1267"/>
      <c r="X752" s="1267"/>
      <c r="Y752" s="1267"/>
      <c r="Z752" s="1267"/>
      <c r="AA752" s="1267"/>
      <c r="AB752" s="1267"/>
      <c r="AC752" s="1267"/>
      <c r="AD752" s="1267"/>
      <c r="AE752" s="1267"/>
      <c r="AF752" s="1267"/>
      <c r="AG752" s="1267"/>
      <c r="AH752" s="1267"/>
      <c r="AI752" s="1267"/>
      <c r="AJ752" s="1267"/>
      <c r="AK752" s="1267"/>
      <c r="AL752" s="1267"/>
      <c r="AM752" s="1267"/>
      <c r="AN752" s="1267"/>
      <c r="AO752" s="1267"/>
      <c r="AP752" s="1267"/>
      <c r="AQ752" s="1267"/>
      <c r="AR752" s="1267"/>
      <c r="AT752"/>
      <c r="AU752"/>
      <c r="AV752"/>
      <c r="AW752"/>
      <c r="AX752"/>
      <c r="AY752"/>
    </row>
    <row r="753" spans="1:110" s="3" customFormat="1" ht="12.9" customHeight="1">
      <c r="B753" s="1076"/>
      <c r="C753" s="1267"/>
      <c r="D753" s="1267"/>
      <c r="E753" s="1267"/>
      <c r="F753" s="1267"/>
      <c r="G753" s="1267"/>
      <c r="H753" s="1267"/>
      <c r="I753" s="1267"/>
      <c r="J753" s="1267"/>
      <c r="K753" s="1267"/>
      <c r="L753" s="1267"/>
      <c r="M753" s="1267"/>
      <c r="N753" s="1267"/>
      <c r="O753" s="1267"/>
      <c r="P753" s="1267"/>
      <c r="Q753" s="1267"/>
      <c r="R753" s="1267"/>
      <c r="S753" s="1267"/>
      <c r="T753" s="1267"/>
      <c r="U753" s="1267"/>
      <c r="V753" s="1267"/>
      <c r="W753" s="1267"/>
      <c r="X753" s="1267"/>
      <c r="Y753" s="1267"/>
      <c r="Z753" s="1267"/>
      <c r="AA753" s="1267"/>
      <c r="AB753" s="1267"/>
      <c r="AC753" s="1267"/>
      <c r="AD753" s="1267"/>
      <c r="AE753" s="1267"/>
      <c r="AF753" s="1267"/>
      <c r="AG753" s="1267"/>
      <c r="AH753" s="1267"/>
      <c r="AI753" s="1267"/>
      <c r="AJ753" s="1267"/>
      <c r="AK753" s="1267"/>
      <c r="AL753" s="1267"/>
      <c r="AM753" s="1267"/>
      <c r="AN753" s="1267"/>
      <c r="AO753" s="1267"/>
      <c r="AP753" s="1267"/>
      <c r="AQ753" s="1267"/>
      <c r="AR753" s="1267"/>
      <c r="AT753"/>
      <c r="AU753"/>
      <c r="AV753"/>
      <c r="AW753"/>
      <c r="AX753"/>
      <c r="AY753"/>
    </row>
    <row r="754" spans="1:110" ht="12.9" customHeight="1">
      <c r="J754" s="1481" t="s">
        <v>391</v>
      </c>
      <c r="K754" s="1482"/>
      <c r="L754" s="1482"/>
      <c r="M754" s="1482"/>
      <c r="N754" s="1483"/>
      <c r="O754" s="1683" t="s">
        <v>287</v>
      </c>
      <c r="P754" s="1683"/>
      <c r="Q754" s="1683"/>
      <c r="R754" s="1683"/>
      <c r="S754" s="1683"/>
      <c r="T754" s="1496" t="s">
        <v>1937</v>
      </c>
      <c r="U754" s="1497"/>
      <c r="V754" s="1497"/>
      <c r="W754" s="1498"/>
      <c r="X754" s="1481" t="s">
        <v>457</v>
      </c>
      <c r="Y754" s="1482"/>
      <c r="Z754" s="1482"/>
      <c r="AA754" s="1482"/>
      <c r="AB754" s="1483"/>
      <c r="AC754" s="1481" t="s">
        <v>288</v>
      </c>
      <c r="AD754" s="1482"/>
      <c r="AE754" s="1482"/>
      <c r="AF754" s="1482"/>
      <c r="AG754" s="1483"/>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 customHeight="1">
      <c r="J755" s="1484"/>
      <c r="K755" s="1485"/>
      <c r="L755" s="1485"/>
      <c r="M755" s="1485"/>
      <c r="N755" s="1486"/>
      <c r="O755" s="1683"/>
      <c r="P755" s="1683"/>
      <c r="Q755" s="1683"/>
      <c r="R755" s="1683"/>
      <c r="S755" s="1683"/>
      <c r="T755" s="1499"/>
      <c r="U755" s="1500"/>
      <c r="V755" s="1500"/>
      <c r="W755" s="1501"/>
      <c r="X755" s="1484"/>
      <c r="Y755" s="1485"/>
      <c r="Z755" s="1485"/>
      <c r="AA755" s="1485"/>
      <c r="AB755" s="1486"/>
      <c r="AC755" s="1484"/>
      <c r="AD755" s="1485"/>
      <c r="AE755" s="1485"/>
      <c r="AF755" s="1485"/>
      <c r="AG755" s="1486"/>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 customHeight="1">
      <c r="J756" s="1484"/>
      <c r="K756" s="1485"/>
      <c r="L756" s="1485"/>
      <c r="M756" s="1485"/>
      <c r="N756" s="1486"/>
      <c r="O756" s="1683"/>
      <c r="P756" s="1683"/>
      <c r="Q756" s="1683"/>
      <c r="R756" s="1683"/>
      <c r="S756" s="1683"/>
      <c r="T756" s="1499"/>
      <c r="U756" s="1500"/>
      <c r="V756" s="1500"/>
      <c r="W756" s="1501"/>
      <c r="X756" s="1484"/>
      <c r="Y756" s="1485"/>
      <c r="Z756" s="1485"/>
      <c r="AA756" s="1485"/>
      <c r="AB756" s="1486"/>
      <c r="AC756" s="1484"/>
      <c r="AD756" s="1485"/>
      <c r="AE756" s="1485"/>
      <c r="AF756" s="1485"/>
      <c r="AG756" s="1486"/>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 customHeight="1">
      <c r="J757" s="1487"/>
      <c r="K757" s="1488"/>
      <c r="L757" s="1488"/>
      <c r="M757" s="1488"/>
      <c r="N757" s="1489"/>
      <c r="O757" s="1683"/>
      <c r="P757" s="1683"/>
      <c r="Q757" s="1683"/>
      <c r="R757" s="1683"/>
      <c r="S757" s="1683"/>
      <c r="T757" s="1502"/>
      <c r="U757" s="1503"/>
      <c r="V757" s="1503"/>
      <c r="W757" s="1504"/>
      <c r="X757" s="1487"/>
      <c r="Y757" s="1488"/>
      <c r="Z757" s="1488"/>
      <c r="AA757" s="1488"/>
      <c r="AB757" s="1489"/>
      <c r="AC757" s="1487"/>
      <c r="AD757" s="1488"/>
      <c r="AE757" s="1488"/>
      <c r="AF757" s="1488"/>
      <c r="AG757" s="1489"/>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 customHeight="1">
      <c r="J758" s="1380" t="s">
        <v>164</v>
      </c>
      <c r="K758" s="1381"/>
      <c r="L758" s="1381"/>
      <c r="M758" s="1381"/>
      <c r="N758" s="1382"/>
      <c r="O758" s="1373">
        <v>2</v>
      </c>
      <c r="P758" s="1373"/>
      <c r="Q758" s="1373"/>
      <c r="R758" s="1373"/>
      <c r="S758" s="1373"/>
      <c r="T758" s="1475">
        <v>730</v>
      </c>
      <c r="U758" s="1476"/>
      <c r="V758" s="1476"/>
      <c r="W758" s="1477"/>
      <c r="X758" s="1472">
        <v>1861</v>
      </c>
      <c r="Y758" s="1473"/>
      <c r="Z758" s="1473"/>
      <c r="AA758" s="1473"/>
      <c r="AB758" s="1474"/>
      <c r="AC758" s="1490">
        <f>X758*O758</f>
        <v>3722</v>
      </c>
      <c r="AD758" s="1491"/>
      <c r="AE758" s="1491"/>
      <c r="AF758" s="1491"/>
      <c r="AG758" s="1492"/>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 customHeight="1">
      <c r="J759" s="1380"/>
      <c r="K759" s="1381"/>
      <c r="L759" s="1381"/>
      <c r="M759" s="1381"/>
      <c r="N759" s="1382"/>
      <c r="O759" s="1373"/>
      <c r="P759" s="1373"/>
      <c r="Q759" s="1373"/>
      <c r="R759" s="1373"/>
      <c r="S759" s="1373"/>
      <c r="T759" s="1475"/>
      <c r="U759" s="1476"/>
      <c r="V759" s="1476"/>
      <c r="W759" s="1477"/>
      <c r="X759" s="1472"/>
      <c r="Y759" s="1473"/>
      <c r="Z759" s="1473"/>
      <c r="AA759" s="1473"/>
      <c r="AB759" s="1474"/>
      <c r="AC759" s="1490">
        <f>X759*O759</f>
        <v>0</v>
      </c>
      <c r="AD759" s="1491"/>
      <c r="AE759" s="1491"/>
      <c r="AF759" s="1491"/>
      <c r="AG759" s="1492"/>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 customHeight="1">
      <c r="J760" s="1380"/>
      <c r="K760" s="1381"/>
      <c r="L760" s="1381"/>
      <c r="M760" s="1381"/>
      <c r="N760" s="1382"/>
      <c r="O760" s="1373"/>
      <c r="P760" s="1373"/>
      <c r="Q760" s="1373"/>
      <c r="R760" s="1373"/>
      <c r="S760" s="1373"/>
      <c r="T760" s="1475"/>
      <c r="U760" s="1476"/>
      <c r="V760" s="1476"/>
      <c r="W760" s="1477"/>
      <c r="X760" s="1472"/>
      <c r="Y760" s="1473"/>
      <c r="Z760" s="1473"/>
      <c r="AA760" s="1473"/>
      <c r="AB760" s="1474"/>
      <c r="AC760" s="1490">
        <f>X760*O760</f>
        <v>0</v>
      </c>
      <c r="AD760" s="1491"/>
      <c r="AE760" s="1491"/>
      <c r="AF760" s="1491"/>
      <c r="AG760" s="1492"/>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 customHeight="1">
      <c r="J761" s="1380"/>
      <c r="K761" s="1381"/>
      <c r="L761" s="1381"/>
      <c r="M761" s="1381"/>
      <c r="N761" s="1382"/>
      <c r="O761" s="1373"/>
      <c r="P761" s="1373"/>
      <c r="Q761" s="1373"/>
      <c r="R761" s="1373"/>
      <c r="S761" s="1373"/>
      <c r="T761" s="1475"/>
      <c r="U761" s="1476"/>
      <c r="V761" s="1476"/>
      <c r="W761" s="1477"/>
      <c r="X761" s="1472"/>
      <c r="Y761" s="1473"/>
      <c r="Z761" s="1473"/>
      <c r="AA761" s="1473"/>
      <c r="AB761" s="1474"/>
      <c r="AC761" s="1490">
        <f>X761*O761</f>
        <v>0</v>
      </c>
      <c r="AD761" s="1491"/>
      <c r="AE761" s="1491"/>
      <c r="AF761" s="1491"/>
      <c r="AG761" s="1492"/>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 customHeight="1">
      <c r="J762" s="1517" t="s">
        <v>126</v>
      </c>
      <c r="K762" s="1518"/>
      <c r="L762" s="1518"/>
      <c r="M762" s="1518"/>
      <c r="N762" s="1520"/>
      <c r="O762" s="1494">
        <f>SUM(O758:S761)</f>
        <v>2</v>
      </c>
      <c r="P762" s="1508"/>
      <c r="Q762" s="1508"/>
      <c r="R762" s="1508"/>
      <c r="S762" s="1495"/>
      <c r="X762" s="1517" t="s">
        <v>125</v>
      </c>
      <c r="Y762" s="1518"/>
      <c r="Z762" s="1518"/>
      <c r="AA762" s="1518"/>
      <c r="AB762" s="1520"/>
      <c r="AC762" s="1490">
        <f>SUM(AC758:AG761)</f>
        <v>3722</v>
      </c>
      <c r="AD762" s="1491"/>
      <c r="AE762" s="1491"/>
      <c r="AF762" s="1491"/>
      <c r="AG762" s="1492"/>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 customHeight="1">
      <c r="B764" s="56"/>
      <c r="C764" s="56"/>
      <c r="D764" s="56"/>
      <c r="E764" s="56"/>
      <c r="F764" s="56"/>
      <c r="G764" s="6"/>
      <c r="H764" s="6"/>
      <c r="I764" s="6"/>
      <c r="J764" s="1379" t="s">
        <v>679</v>
      </c>
      <c r="K764" s="1379"/>
      <c r="L764" s="56"/>
      <c r="M764" s="35" t="s">
        <v>1016</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 customHeight="1">
      <c r="B765" s="56"/>
      <c r="C765" s="56"/>
      <c r="D765" s="56"/>
      <c r="E765" s="56"/>
      <c r="F765" s="56"/>
      <c r="G765" s="6"/>
      <c r="H765" s="6"/>
      <c r="I765" s="6"/>
      <c r="J765" s="6"/>
      <c r="K765" s="6"/>
      <c r="L765" s="56"/>
      <c r="M765" s="35" t="s">
        <v>2508</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 customHeight="1">
      <c r="J768" s="1481" t="s">
        <v>391</v>
      </c>
      <c r="K768" s="1482"/>
      <c r="L768" s="1482"/>
      <c r="M768" s="1482"/>
      <c r="N768" s="1483"/>
      <c r="O768" s="1683" t="s">
        <v>287</v>
      </c>
      <c r="P768" s="1683"/>
      <c r="Q768" s="1683"/>
      <c r="R768" s="1683"/>
      <c r="S768" s="1683"/>
      <c r="T768" s="1496" t="s">
        <v>1937</v>
      </c>
      <c r="U768" s="1497"/>
      <c r="V768" s="1497"/>
      <c r="W768" s="1498"/>
      <c r="X768" s="1481" t="s">
        <v>457</v>
      </c>
      <c r="Y768" s="1482"/>
      <c r="Z768" s="1482"/>
      <c r="AA768" s="1482"/>
      <c r="AB768" s="1483"/>
      <c r="AC768" s="1481" t="s">
        <v>288</v>
      </c>
      <c r="AD768" s="1482"/>
      <c r="AE768" s="1482"/>
      <c r="AF768" s="1482"/>
      <c r="AG768" s="1483"/>
      <c r="AH768" s="1602" t="s">
        <v>2130</v>
      </c>
      <c r="AI768" s="1603"/>
      <c r="AJ768" s="1603"/>
      <c r="AK768" s="1603"/>
      <c r="AL768" s="160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 customHeight="1">
      <c r="J769" s="1484"/>
      <c r="K769" s="1485"/>
      <c r="L769" s="1485"/>
      <c r="M769" s="1485"/>
      <c r="N769" s="1486"/>
      <c r="O769" s="1683"/>
      <c r="P769" s="1683"/>
      <c r="Q769" s="1683"/>
      <c r="R769" s="1683"/>
      <c r="S769" s="1683"/>
      <c r="T769" s="1499"/>
      <c r="U769" s="1500"/>
      <c r="V769" s="1500"/>
      <c r="W769" s="1501"/>
      <c r="X769" s="1484"/>
      <c r="Y769" s="1485"/>
      <c r="Z769" s="1485"/>
      <c r="AA769" s="1485"/>
      <c r="AB769" s="1486"/>
      <c r="AC769" s="1484"/>
      <c r="AD769" s="1485"/>
      <c r="AE769" s="1485"/>
      <c r="AF769" s="1485"/>
      <c r="AG769" s="1486"/>
      <c r="AH769" s="1602"/>
      <c r="AI769" s="1603"/>
      <c r="AJ769" s="1603"/>
      <c r="AK769" s="1603"/>
      <c r="AL769" s="160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 customHeight="1">
      <c r="J770" s="1484"/>
      <c r="K770" s="1485"/>
      <c r="L770" s="1485"/>
      <c r="M770" s="1485"/>
      <c r="N770" s="1486"/>
      <c r="O770" s="1683"/>
      <c r="P770" s="1683"/>
      <c r="Q770" s="1683"/>
      <c r="R770" s="1683"/>
      <c r="S770" s="1683"/>
      <c r="T770" s="1499"/>
      <c r="U770" s="1500"/>
      <c r="V770" s="1500"/>
      <c r="W770" s="1501"/>
      <c r="X770" s="1484"/>
      <c r="Y770" s="1485"/>
      <c r="Z770" s="1485"/>
      <c r="AA770" s="1485"/>
      <c r="AB770" s="1486"/>
      <c r="AC770" s="1484"/>
      <c r="AD770" s="1485"/>
      <c r="AE770" s="1485"/>
      <c r="AF770" s="1485"/>
      <c r="AG770" s="1486"/>
      <c r="AH770" s="1602"/>
      <c r="AI770" s="1603"/>
      <c r="AJ770" s="1603"/>
      <c r="AK770" s="1603"/>
      <c r="AL770" s="160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 customHeight="1">
      <c r="J771" s="1487"/>
      <c r="K771" s="1488"/>
      <c r="L771" s="1488"/>
      <c r="M771" s="1488"/>
      <c r="N771" s="1489"/>
      <c r="O771" s="1683"/>
      <c r="P771" s="1683"/>
      <c r="Q771" s="1683"/>
      <c r="R771" s="1683"/>
      <c r="S771" s="1683"/>
      <c r="T771" s="1502"/>
      <c r="U771" s="1503"/>
      <c r="V771" s="1503"/>
      <c r="W771" s="1504"/>
      <c r="X771" s="1487"/>
      <c r="Y771" s="1488"/>
      <c r="Z771" s="1488"/>
      <c r="AA771" s="1488"/>
      <c r="AB771" s="1489"/>
      <c r="AC771" s="1487"/>
      <c r="AD771" s="1488"/>
      <c r="AE771" s="1488"/>
      <c r="AF771" s="1488"/>
      <c r="AG771" s="1489"/>
      <c r="AH771" s="1602"/>
      <c r="AI771" s="1603"/>
      <c r="AJ771" s="1603"/>
      <c r="AK771" s="1603"/>
      <c r="AL771" s="160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 customHeight="1">
      <c r="J772" s="1380"/>
      <c r="K772" s="1381"/>
      <c r="L772" s="1381"/>
      <c r="M772" s="1381"/>
      <c r="N772" s="1382"/>
      <c r="O772" s="1373"/>
      <c r="P772" s="1373"/>
      <c r="Q772" s="1373"/>
      <c r="R772" s="1373"/>
      <c r="S772" s="1373"/>
      <c r="T772" s="1475"/>
      <c r="U772" s="1476"/>
      <c r="V772" s="1476"/>
      <c r="W772" s="1477"/>
      <c r="X772" s="1472"/>
      <c r="Y772" s="1473"/>
      <c r="Z772" s="1473"/>
      <c r="AA772" s="1473"/>
      <c r="AB772" s="1474"/>
      <c r="AC772" s="1490">
        <f t="shared" ref="AC772:AC781" si="51">X772*O772</f>
        <v>0</v>
      </c>
      <c r="AD772" s="1491"/>
      <c r="AE772" s="1491"/>
      <c r="AF772" s="1491"/>
      <c r="AG772" s="1492"/>
      <c r="AH772" s="1604"/>
      <c r="AI772" s="1605"/>
      <c r="AJ772" s="1605"/>
      <c r="AK772" s="1605"/>
      <c r="AL772" s="160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 customHeight="1">
      <c r="J773" s="1380"/>
      <c r="K773" s="1381"/>
      <c r="L773" s="1381"/>
      <c r="M773" s="1381"/>
      <c r="N773" s="1382"/>
      <c r="O773" s="1373"/>
      <c r="P773" s="1373"/>
      <c r="Q773" s="1373"/>
      <c r="R773" s="1373"/>
      <c r="S773" s="1373"/>
      <c r="T773" s="1475"/>
      <c r="U773" s="1476"/>
      <c r="V773" s="1476"/>
      <c r="W773" s="1477"/>
      <c r="X773" s="1472"/>
      <c r="Y773" s="1473"/>
      <c r="Z773" s="1473"/>
      <c r="AA773" s="1473"/>
      <c r="AB773" s="1474"/>
      <c r="AC773" s="1490">
        <f t="shared" si="51"/>
        <v>0</v>
      </c>
      <c r="AD773" s="1491"/>
      <c r="AE773" s="1491"/>
      <c r="AF773" s="1491"/>
      <c r="AG773" s="1492"/>
      <c r="AH773" s="1604"/>
      <c r="AI773" s="1605"/>
      <c r="AJ773" s="1605"/>
      <c r="AK773" s="1605"/>
      <c r="AL773" s="1605"/>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 customHeight="1">
      <c r="J774" s="1380"/>
      <c r="K774" s="1381"/>
      <c r="L774" s="1381"/>
      <c r="M774" s="1381"/>
      <c r="N774" s="1382"/>
      <c r="O774" s="1373"/>
      <c r="P774" s="1373"/>
      <c r="Q774" s="1373"/>
      <c r="R774" s="1373"/>
      <c r="S774" s="1373"/>
      <c r="T774" s="1475"/>
      <c r="U774" s="1476"/>
      <c r="V774" s="1476"/>
      <c r="W774" s="1477"/>
      <c r="X774" s="1472"/>
      <c r="Y774" s="1473"/>
      <c r="Z774" s="1473"/>
      <c r="AA774" s="1473"/>
      <c r="AB774" s="1474"/>
      <c r="AC774" s="1490">
        <f t="shared" si="51"/>
        <v>0</v>
      </c>
      <c r="AD774" s="1491"/>
      <c r="AE774" s="1491"/>
      <c r="AF774" s="1491"/>
      <c r="AG774" s="1492"/>
      <c r="AH774" s="1604"/>
      <c r="AI774" s="1605"/>
      <c r="AJ774" s="1605"/>
      <c r="AK774" s="1605"/>
      <c r="AL774" s="1605"/>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 customHeight="1">
      <c r="J775" s="1380"/>
      <c r="K775" s="1381"/>
      <c r="L775" s="1381"/>
      <c r="M775" s="1381"/>
      <c r="N775" s="1382"/>
      <c r="O775" s="1373"/>
      <c r="P775" s="1373"/>
      <c r="Q775" s="1373"/>
      <c r="R775" s="1373"/>
      <c r="S775" s="1373"/>
      <c r="T775" s="1475"/>
      <c r="U775" s="1476"/>
      <c r="V775" s="1476"/>
      <c r="W775" s="1477"/>
      <c r="X775" s="1472"/>
      <c r="Y775" s="1473"/>
      <c r="Z775" s="1473"/>
      <c r="AA775" s="1473"/>
      <c r="AB775" s="1474"/>
      <c r="AC775" s="1490">
        <f t="shared" si="51"/>
        <v>0</v>
      </c>
      <c r="AD775" s="1491"/>
      <c r="AE775" s="1491"/>
      <c r="AF775" s="1491"/>
      <c r="AG775" s="1492"/>
      <c r="AH775" s="1604"/>
      <c r="AI775" s="1605"/>
      <c r="AJ775" s="1605"/>
      <c r="AK775" s="1605"/>
      <c r="AL775" s="1605"/>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 customHeight="1">
      <c r="J776" s="1380"/>
      <c r="K776" s="1381"/>
      <c r="L776" s="1381"/>
      <c r="M776" s="1381"/>
      <c r="N776" s="1382"/>
      <c r="O776" s="1373"/>
      <c r="P776" s="1373"/>
      <c r="Q776" s="1373"/>
      <c r="R776" s="1373"/>
      <c r="S776" s="1373"/>
      <c r="T776" s="1475"/>
      <c r="U776" s="1476"/>
      <c r="V776" s="1476"/>
      <c r="W776" s="1477"/>
      <c r="X776" s="1472"/>
      <c r="Y776" s="1473"/>
      <c r="Z776" s="1473"/>
      <c r="AA776" s="1473"/>
      <c r="AB776" s="1474"/>
      <c r="AC776" s="1490">
        <f t="shared" si="51"/>
        <v>0</v>
      </c>
      <c r="AD776" s="1491"/>
      <c r="AE776" s="1491"/>
      <c r="AF776" s="1491"/>
      <c r="AG776" s="1492"/>
      <c r="AH776" s="1604"/>
      <c r="AI776" s="1605"/>
      <c r="AJ776" s="1605"/>
      <c r="AK776" s="1605"/>
      <c r="AL776" s="1605"/>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 customHeight="1">
      <c r="J777" s="1380"/>
      <c r="K777" s="1381"/>
      <c r="L777" s="1381"/>
      <c r="M777" s="1381"/>
      <c r="N777" s="1382"/>
      <c r="O777" s="1373"/>
      <c r="P777" s="1373"/>
      <c r="Q777" s="1373"/>
      <c r="R777" s="1373"/>
      <c r="S777" s="1373"/>
      <c r="T777" s="1475"/>
      <c r="U777" s="1476"/>
      <c r="V777" s="1476"/>
      <c r="W777" s="1477"/>
      <c r="X777" s="1472"/>
      <c r="Y777" s="1473"/>
      <c r="Z777" s="1473"/>
      <c r="AA777" s="1473"/>
      <c r="AB777" s="1474"/>
      <c r="AC777" s="1490">
        <f t="shared" si="51"/>
        <v>0</v>
      </c>
      <c r="AD777" s="1491"/>
      <c r="AE777" s="1491"/>
      <c r="AF777" s="1491"/>
      <c r="AG777" s="1492"/>
      <c r="AH777" s="1604"/>
      <c r="AI777" s="1605"/>
      <c r="AJ777" s="1605"/>
      <c r="AK777" s="1605"/>
      <c r="AL777" s="160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 customHeight="1">
      <c r="J778" s="1380"/>
      <c r="K778" s="1381"/>
      <c r="L778" s="1381"/>
      <c r="M778" s="1381"/>
      <c r="N778" s="1382"/>
      <c r="O778" s="1373"/>
      <c r="P778" s="1373"/>
      <c r="Q778" s="1373"/>
      <c r="R778" s="1373"/>
      <c r="S778" s="1373"/>
      <c r="T778" s="1475"/>
      <c r="U778" s="1476"/>
      <c r="V778" s="1476"/>
      <c r="W778" s="1477"/>
      <c r="X778" s="1472"/>
      <c r="Y778" s="1473"/>
      <c r="Z778" s="1473"/>
      <c r="AA778" s="1473"/>
      <c r="AB778" s="1474"/>
      <c r="AC778" s="1490">
        <f t="shared" si="51"/>
        <v>0</v>
      </c>
      <c r="AD778" s="1491"/>
      <c r="AE778" s="1491"/>
      <c r="AF778" s="1491"/>
      <c r="AG778" s="1492"/>
      <c r="AH778" s="1604"/>
      <c r="AI778" s="1605"/>
      <c r="AJ778" s="1605"/>
      <c r="AK778" s="1605"/>
      <c r="AL778" s="160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 customHeight="1">
      <c r="J779" s="1380"/>
      <c r="K779" s="1381"/>
      <c r="L779" s="1381"/>
      <c r="M779" s="1381"/>
      <c r="N779" s="1382"/>
      <c r="O779" s="1373"/>
      <c r="P779" s="1373"/>
      <c r="Q779" s="1373"/>
      <c r="R779" s="1373"/>
      <c r="S779" s="1373"/>
      <c r="T779" s="1475"/>
      <c r="U779" s="1476"/>
      <c r="V779" s="1476"/>
      <c r="W779" s="1477"/>
      <c r="X779" s="1472"/>
      <c r="Y779" s="1473"/>
      <c r="Z779" s="1473"/>
      <c r="AA779" s="1473"/>
      <c r="AB779" s="1474"/>
      <c r="AC779" s="1490">
        <f t="shared" si="51"/>
        <v>0</v>
      </c>
      <c r="AD779" s="1491"/>
      <c r="AE779" s="1491"/>
      <c r="AF779" s="1491"/>
      <c r="AG779" s="1492"/>
      <c r="AH779" s="1604"/>
      <c r="AI779" s="1605"/>
      <c r="AJ779" s="1605"/>
      <c r="AK779" s="1605"/>
      <c r="AL779" s="160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 customHeight="1">
      <c r="J780" s="1380"/>
      <c r="K780" s="1381"/>
      <c r="L780" s="1381"/>
      <c r="M780" s="1381"/>
      <c r="N780" s="1382"/>
      <c r="O780" s="1373"/>
      <c r="P780" s="1373"/>
      <c r="Q780" s="1373"/>
      <c r="R780" s="1373"/>
      <c r="S780" s="1373"/>
      <c r="T780" s="1475"/>
      <c r="U780" s="1476"/>
      <c r="V780" s="1476"/>
      <c r="W780" s="1477"/>
      <c r="X780" s="1472"/>
      <c r="Y780" s="1473"/>
      <c r="Z780" s="1473"/>
      <c r="AA780" s="1473"/>
      <c r="AB780" s="1474"/>
      <c r="AC780" s="1490">
        <f t="shared" si="51"/>
        <v>0</v>
      </c>
      <c r="AD780" s="1491"/>
      <c r="AE780" s="1491"/>
      <c r="AF780" s="1491"/>
      <c r="AG780" s="1492"/>
      <c r="AH780" s="1604"/>
      <c r="AI780" s="1605"/>
      <c r="AJ780" s="1605"/>
      <c r="AK780" s="1605"/>
      <c r="AL780" s="160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 customHeight="1">
      <c r="J781" s="1380"/>
      <c r="K781" s="1381"/>
      <c r="L781" s="1381"/>
      <c r="M781" s="1381"/>
      <c r="N781" s="1382"/>
      <c r="O781" s="1373"/>
      <c r="P781" s="1373"/>
      <c r="Q781" s="1373"/>
      <c r="R781" s="1373"/>
      <c r="S781" s="1373"/>
      <c r="T781" s="1475"/>
      <c r="U781" s="1476"/>
      <c r="V781" s="1476"/>
      <c r="W781" s="1477"/>
      <c r="X781" s="1472"/>
      <c r="Y781" s="1473"/>
      <c r="Z781" s="1473"/>
      <c r="AA781" s="1473"/>
      <c r="AB781" s="1474"/>
      <c r="AC781" s="1490">
        <f t="shared" si="51"/>
        <v>0</v>
      </c>
      <c r="AD781" s="1491"/>
      <c r="AE781" s="1491"/>
      <c r="AF781" s="1491"/>
      <c r="AG781" s="1492"/>
      <c r="AH781" s="1604"/>
      <c r="AI781" s="1605"/>
      <c r="AJ781" s="1605"/>
      <c r="AK781" s="1605"/>
      <c r="AL781" s="1605"/>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 customHeight="1">
      <c r="J782" s="1517" t="s">
        <v>126</v>
      </c>
      <c r="K782" s="1518"/>
      <c r="L782" s="1518"/>
      <c r="M782" s="1518"/>
      <c r="N782" s="1520"/>
      <c r="O782" s="1695">
        <f>SUM(O772:S781)</f>
        <v>0</v>
      </c>
      <c r="P782" s="1695"/>
      <c r="Q782" s="1695"/>
      <c r="R782" s="1695"/>
      <c r="S782" s="1695"/>
      <c r="X782" s="939" t="s">
        <v>125</v>
      </c>
      <c r="Y782" s="11"/>
      <c r="Z782" s="11"/>
      <c r="AA782" s="11"/>
      <c r="AB782" s="946"/>
      <c r="AC782" s="1490">
        <f>SUM(AC772:AG781)</f>
        <v>0</v>
      </c>
      <c r="AD782" s="1491"/>
      <c r="AE782" s="1491"/>
      <c r="AF782" s="1491"/>
      <c r="AG782" s="1492"/>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 customHeight="1">
      <c r="J784" s="45"/>
      <c r="K784" s="5"/>
      <c r="L784" s="5"/>
      <c r="M784" s="5"/>
      <c r="N784" s="5"/>
      <c r="O784" s="5"/>
      <c r="P784" s="5"/>
      <c r="Q784" s="5"/>
      <c r="R784" s="5"/>
      <c r="S784" s="5"/>
      <c r="T784" s="5"/>
      <c r="U784" s="5"/>
      <c r="V784" s="5"/>
      <c r="W784" s="5"/>
      <c r="X784" s="54" t="s">
        <v>162</v>
      </c>
      <c r="Y784" s="1632">
        <f>O739+AC762+AC782</f>
        <v>380422</v>
      </c>
      <c r="Z784" s="1632"/>
      <c r="AA784" s="1632"/>
      <c r="AB784" s="1632"/>
      <c r="AC784" s="163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 customHeight="1">
      <c r="J785" s="47"/>
      <c r="K785" s="48"/>
      <c r="L785" s="48"/>
      <c r="M785" s="48"/>
      <c r="N785" s="48"/>
      <c r="O785" s="48"/>
      <c r="P785" s="48"/>
      <c r="Q785" s="48"/>
      <c r="R785" s="48"/>
      <c r="S785" s="48"/>
      <c r="T785" s="48"/>
      <c r="U785" s="48"/>
      <c r="V785" s="48"/>
      <c r="W785" s="48"/>
      <c r="X785" s="94" t="s">
        <v>163</v>
      </c>
      <c r="Y785" s="1632">
        <f>(O739+AC762+AC782)*12</f>
        <v>4565064</v>
      </c>
      <c r="Z785" s="1632"/>
      <c r="AA785" s="1632"/>
      <c r="AB785" s="1632"/>
      <c r="AC785" s="1632"/>
      <c r="AZ785" s="3"/>
      <c r="BA785" s="14" t="s">
        <v>642</v>
      </c>
      <c r="BB785" s="14"/>
      <c r="BC785" s="14"/>
      <c r="BD785" s="14"/>
      <c r="BE785" s="14"/>
      <c r="BF785" s="14"/>
      <c r="BG785" s="14"/>
      <c r="BH785" s="14"/>
      <c r="BI785" s="14"/>
      <c r="BJ785" s="14"/>
      <c r="BK785" s="14"/>
      <c r="BL785" s="14"/>
      <c r="BM785" s="14"/>
      <c r="BN785" s="1690" t="s">
        <v>479</v>
      </c>
      <c r="BO785" s="1691"/>
      <c r="BP785" s="3"/>
      <c r="BQ785" s="3"/>
      <c r="BR785" s="3"/>
      <c r="BS785" s="14" t="s">
        <v>644</v>
      </c>
      <c r="BT785" s="14"/>
      <c r="BU785" s="14"/>
      <c r="BV785" s="14"/>
      <c r="BW785" s="14"/>
      <c r="BX785" s="14"/>
      <c r="BY785" s="14"/>
      <c r="BZ785" s="14"/>
      <c r="CA785" s="14"/>
      <c r="CB785" s="1687" t="str">
        <f>T189</f>
        <v>San Diego</v>
      </c>
      <c r="CC785" s="1688"/>
      <c r="CD785" s="1688"/>
      <c r="CE785" s="1688"/>
      <c r="CF785" s="1688"/>
      <c r="CG785" s="1688"/>
      <c r="CH785" s="1689"/>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2611</v>
      </c>
      <c r="BP788" s="32"/>
      <c r="BQ788" s="32"/>
      <c r="BR788" s="32"/>
      <c r="BS788" s="32"/>
      <c r="BT788" s="32"/>
      <c r="BV788" s="31" t="s">
        <v>2612</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63"/>
      <c r="AA790" s="1626"/>
      <c r="AB790" s="1626"/>
      <c r="AC790" s="1626"/>
      <c r="AD790" s="1626"/>
      <c r="AE790" s="1627"/>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25"/>
      <c r="AA791" s="1626"/>
      <c r="AB791" s="1626"/>
      <c r="AC791" s="1626"/>
      <c r="AD791" s="1626"/>
      <c r="AE791" s="1627"/>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07">
        <v>0</v>
      </c>
      <c r="AA792" s="1585"/>
      <c r="AB792" s="1585"/>
      <c r="AC792" s="1585"/>
      <c r="AD792" s="1585"/>
      <c r="AE792" s="1608"/>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4">
        <f>'Subsidy Contract Calculation'!J30</f>
        <v>0</v>
      </c>
      <c r="AA793" s="1515"/>
      <c r="AB793" s="1515"/>
      <c r="AC793" s="1515"/>
      <c r="AD793" s="1515"/>
      <c r="AE793" s="1516"/>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596"/>
      <c r="AA797" s="1597"/>
      <c r="AB797" s="1597"/>
      <c r="AC797" s="1597"/>
      <c r="AD797" s="1597"/>
      <c r="AE797" s="1598"/>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596">
        <v>27360</v>
      </c>
      <c r="AA798" s="1597"/>
      <c r="AB798" s="1597"/>
      <c r="AC798" s="1597"/>
      <c r="AD798" s="1597"/>
      <c r="AE798" s="1598"/>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596"/>
      <c r="AA799" s="1597"/>
      <c r="AB799" s="1597"/>
      <c r="AC799" s="1597"/>
      <c r="AD799" s="1597"/>
      <c r="AE799" s="1598"/>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 customHeight="1">
      <c r="A800"/>
      <c r="B800"/>
      <c r="C800"/>
      <c r="D800"/>
      <c r="E800"/>
      <c r="F800"/>
      <c r="G800"/>
      <c r="H800" s="45" t="s">
        <v>39</v>
      </c>
      <c r="I800" s="5"/>
      <c r="J800" s="5"/>
      <c r="K800" s="5"/>
      <c r="L800" s="5"/>
      <c r="M800" s="5"/>
      <c r="N800" s="5"/>
      <c r="O800" s="5"/>
      <c r="P800" s="1599" t="s">
        <v>2707</v>
      </c>
      <c r="Q800" s="1600"/>
      <c r="R800" s="1600"/>
      <c r="S800" s="1600"/>
      <c r="T800" s="1600"/>
      <c r="U800" s="1600"/>
      <c r="V800" s="1600"/>
      <c r="W800" s="1600"/>
      <c r="X800" s="1600"/>
      <c r="Y800" s="1601"/>
      <c r="Z800" s="1596">
        <v>34000</v>
      </c>
      <c r="AA800" s="1597"/>
      <c r="AB800" s="1597"/>
      <c r="AC800" s="1597"/>
      <c r="AD800" s="1597"/>
      <c r="AE800" s="1598"/>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4">
        <f>SUM(Z797:AE800)</f>
        <v>61360</v>
      </c>
      <c r="AA801" s="1515"/>
      <c r="AB801" s="1515"/>
      <c r="AC801" s="1515"/>
      <c r="AD801" s="1515"/>
      <c r="AE801" s="1516"/>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14">
        <f>Z801+Y785+Z793</f>
        <v>4626424</v>
      </c>
      <c r="AA802" s="1515"/>
      <c r="AB802" s="1515"/>
      <c r="AC802" s="1515"/>
      <c r="AD802" s="1515"/>
      <c r="AE802" s="1516"/>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 customHeight="1">
      <c r="A807"/>
      <c r="B807"/>
      <c r="C807" s="41"/>
      <c r="D807" s="42"/>
      <c r="E807" s="42"/>
      <c r="F807" s="42"/>
      <c r="G807" s="42"/>
      <c r="H807" s="42"/>
      <c r="I807" s="42"/>
      <c r="J807" s="42"/>
      <c r="K807" s="42"/>
      <c r="L807" s="58"/>
      <c r="M807" s="1579" t="s">
        <v>127</v>
      </c>
      <c r="N807" s="1579"/>
      <c r="O807" s="1579"/>
      <c r="P807" s="1580"/>
      <c r="Q807" s="1606" t="s">
        <v>292</v>
      </c>
      <c r="R807" s="1606"/>
      <c r="S807" s="1606"/>
      <c r="T807" s="1606"/>
      <c r="U807" s="1606" t="s">
        <v>293</v>
      </c>
      <c r="V807" s="1606"/>
      <c r="W807" s="1606"/>
      <c r="X807" s="1606"/>
      <c r="Y807" s="1606" t="s">
        <v>294</v>
      </c>
      <c r="Z807" s="1606"/>
      <c r="AA807" s="1606"/>
      <c r="AB807" s="1606"/>
      <c r="AC807" s="1606" t="s">
        <v>363</v>
      </c>
      <c r="AD807" s="1606"/>
      <c r="AE807" s="1606"/>
      <c r="AF807" s="1606"/>
      <c r="AG807" s="1620" t="s">
        <v>337</v>
      </c>
      <c r="AH807" s="1620"/>
      <c r="AI807" s="1620"/>
      <c r="AJ807" s="1620"/>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 customHeight="1">
      <c r="A808"/>
      <c r="B808"/>
      <c r="C808" s="47"/>
      <c r="D808" s="48"/>
      <c r="E808" s="48"/>
      <c r="F808" s="48"/>
      <c r="G808" s="48"/>
      <c r="H808" s="48"/>
      <c r="I808" s="48"/>
      <c r="J808" s="48"/>
      <c r="K808" s="48"/>
      <c r="L808" s="49"/>
      <c r="M808" s="1581"/>
      <c r="N808" s="1581"/>
      <c r="O808" s="1581"/>
      <c r="P808" s="1582"/>
      <c r="Q808" s="1606"/>
      <c r="R808" s="1606"/>
      <c r="S808" s="1606"/>
      <c r="T808" s="1606"/>
      <c r="U808" s="1606"/>
      <c r="V808" s="1606"/>
      <c r="W808" s="1606"/>
      <c r="X808" s="1606"/>
      <c r="Y808" s="1606"/>
      <c r="Z808" s="1606"/>
      <c r="AA808" s="1606"/>
      <c r="AB808" s="1606"/>
      <c r="AC808" s="1606"/>
      <c r="AD808" s="1606"/>
      <c r="AE808" s="1606"/>
      <c r="AF808" s="1606"/>
      <c r="AG808" s="1620"/>
      <c r="AH808" s="1620"/>
      <c r="AI808" s="1620"/>
      <c r="AJ808" s="1620"/>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 customHeight="1">
      <c r="A809"/>
      <c r="B809"/>
      <c r="C809" s="1583" t="s">
        <v>40</v>
      </c>
      <c r="D809" s="1511"/>
      <c r="E809" s="1511"/>
      <c r="F809" s="1511"/>
      <c r="G809" s="1511"/>
      <c r="H809" s="1511"/>
      <c r="I809" s="48"/>
      <c r="J809" s="48"/>
      <c r="K809" s="48"/>
      <c r="L809" s="49"/>
      <c r="M809" s="1578"/>
      <c r="N809" s="1578"/>
      <c r="O809" s="1578"/>
      <c r="P809" s="1578"/>
      <c r="Q809" s="1578"/>
      <c r="R809" s="1578"/>
      <c r="S809" s="1578"/>
      <c r="T809" s="1578"/>
      <c r="U809" s="1578"/>
      <c r="V809" s="1578"/>
      <c r="W809" s="1578"/>
      <c r="X809" s="1578"/>
      <c r="Y809" s="1578"/>
      <c r="Z809" s="1578"/>
      <c r="AA809" s="1578"/>
      <c r="AB809" s="1578"/>
      <c r="AC809" s="1575"/>
      <c r="AD809" s="1576"/>
      <c r="AE809" s="1576"/>
      <c r="AF809" s="1577"/>
      <c r="AG809" s="1575"/>
      <c r="AH809" s="1576"/>
      <c r="AI809" s="1576"/>
      <c r="AJ809" s="1577"/>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 customHeight="1">
      <c r="A810"/>
      <c r="B810"/>
      <c r="C810" s="1423" t="s">
        <v>41</v>
      </c>
      <c r="D810" s="1424"/>
      <c r="E810" s="1424"/>
      <c r="F810" s="1424"/>
      <c r="G810" s="1424"/>
      <c r="H810" s="1424"/>
      <c r="I810" s="5"/>
      <c r="J810" s="5"/>
      <c r="K810" s="5"/>
      <c r="L810" s="46"/>
      <c r="M810" s="1578"/>
      <c r="N810" s="1578"/>
      <c r="O810" s="1578"/>
      <c r="P810" s="1578"/>
      <c r="Q810" s="1578"/>
      <c r="R810" s="1578"/>
      <c r="S810" s="1578"/>
      <c r="T810" s="1578"/>
      <c r="U810" s="1578"/>
      <c r="V810" s="1578"/>
      <c r="W810" s="1578"/>
      <c r="X810" s="1578"/>
      <c r="Y810" s="1578"/>
      <c r="Z810" s="1578"/>
      <c r="AA810" s="1578"/>
      <c r="AB810" s="1578"/>
      <c r="AC810" s="1575"/>
      <c r="AD810" s="1576"/>
      <c r="AE810" s="1576"/>
      <c r="AF810" s="1577"/>
      <c r="AG810" s="1575"/>
      <c r="AH810" s="1576"/>
      <c r="AI810" s="1576"/>
      <c r="AJ810" s="1577"/>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 customHeight="1">
      <c r="A811"/>
      <c r="B811"/>
      <c r="C811" s="1423" t="s">
        <v>42</v>
      </c>
      <c r="D811" s="1424"/>
      <c r="E811" s="1424"/>
      <c r="F811" s="1424"/>
      <c r="G811" s="1424"/>
      <c r="H811" s="1424"/>
      <c r="I811" s="60"/>
      <c r="J811" s="60"/>
      <c r="K811" s="60"/>
      <c r="L811" s="61"/>
      <c r="M811" s="1578"/>
      <c r="N811" s="1578"/>
      <c r="O811" s="1578"/>
      <c r="P811" s="1578"/>
      <c r="Q811" s="1578"/>
      <c r="R811" s="1578"/>
      <c r="S811" s="1578"/>
      <c r="T811" s="1578"/>
      <c r="U811" s="1578"/>
      <c r="V811" s="1578"/>
      <c r="W811" s="1578"/>
      <c r="X811" s="1578"/>
      <c r="Y811" s="1578"/>
      <c r="Z811" s="1578"/>
      <c r="AA811" s="1578"/>
      <c r="AB811" s="1578"/>
      <c r="AC811" s="1575"/>
      <c r="AD811" s="1576"/>
      <c r="AE811" s="1576"/>
      <c r="AF811" s="1577"/>
      <c r="AG811" s="1575"/>
      <c r="AH811" s="1576"/>
      <c r="AI811" s="1576"/>
      <c r="AJ811" s="1577"/>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 customHeight="1">
      <c r="A812"/>
      <c r="B812"/>
      <c r="C812" s="1423" t="s">
        <v>787</v>
      </c>
      <c r="D812" s="1424"/>
      <c r="E812" s="1424"/>
      <c r="F812" s="1424"/>
      <c r="G812" s="1424"/>
      <c r="H812" s="1424"/>
      <c r="I812" s="60"/>
      <c r="J812" s="60"/>
      <c r="K812" s="60"/>
      <c r="L812" s="61"/>
      <c r="M812" s="1578"/>
      <c r="N812" s="1578"/>
      <c r="O812" s="1578"/>
      <c r="P812" s="1578"/>
      <c r="Q812" s="1578"/>
      <c r="R812" s="1578"/>
      <c r="S812" s="1578"/>
      <c r="T812" s="1578"/>
      <c r="U812" s="1578"/>
      <c r="V812" s="1578"/>
      <c r="W812" s="1578"/>
      <c r="X812" s="1578"/>
      <c r="Y812" s="1578"/>
      <c r="Z812" s="1578"/>
      <c r="AA812" s="1578"/>
      <c r="AB812" s="1578"/>
      <c r="AC812" s="1575"/>
      <c r="AD812" s="1576"/>
      <c r="AE812" s="1576"/>
      <c r="AF812" s="1577"/>
      <c r="AG812" s="1575"/>
      <c r="AH812" s="1576"/>
      <c r="AI812" s="1576"/>
      <c r="AJ812" s="1577"/>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 customHeight="1">
      <c r="A813"/>
      <c r="B813"/>
      <c r="C813" s="1423" t="s">
        <v>469</v>
      </c>
      <c r="D813" s="1424"/>
      <c r="E813" s="1424"/>
      <c r="F813" s="1424"/>
      <c r="G813" s="1424"/>
      <c r="H813" s="1424"/>
      <c r="I813" s="60"/>
      <c r="J813" s="60"/>
      <c r="K813" s="60"/>
      <c r="L813" s="61"/>
      <c r="M813" s="1578"/>
      <c r="N813" s="1578"/>
      <c r="O813" s="1578"/>
      <c r="P813" s="1578"/>
      <c r="Q813" s="1578"/>
      <c r="R813" s="1578"/>
      <c r="S813" s="1578"/>
      <c r="T813" s="1578"/>
      <c r="U813" s="1578"/>
      <c r="V813" s="1578"/>
      <c r="W813" s="1578"/>
      <c r="X813" s="1578"/>
      <c r="Y813" s="1578"/>
      <c r="Z813" s="1578"/>
      <c r="AA813" s="1578"/>
      <c r="AB813" s="1578"/>
      <c r="AC813" s="1575"/>
      <c r="AD813" s="1576"/>
      <c r="AE813" s="1576"/>
      <c r="AF813" s="1577"/>
      <c r="AG813" s="1575"/>
      <c r="AH813" s="1576"/>
      <c r="AI813" s="1576"/>
      <c r="AJ813" s="1577"/>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 customHeight="1">
      <c r="A814"/>
      <c r="B814"/>
      <c r="C814" s="1624" t="s">
        <v>808</v>
      </c>
      <c r="D814" s="1424"/>
      <c r="E814" s="1424"/>
      <c r="F814" s="1424"/>
      <c r="G814" s="1424"/>
      <c r="H814" s="1424"/>
      <c r="I814" s="60"/>
      <c r="J814" s="60"/>
      <c r="K814" s="60"/>
      <c r="L814" s="61"/>
      <c r="M814" s="1578"/>
      <c r="N814" s="1578"/>
      <c r="O814" s="1578"/>
      <c r="P814" s="1578"/>
      <c r="Q814" s="1578"/>
      <c r="R814" s="1578"/>
      <c r="S814" s="1578"/>
      <c r="T814" s="1578"/>
      <c r="U814" s="1578"/>
      <c r="V814" s="1578"/>
      <c r="W814" s="1578"/>
      <c r="X814" s="1578"/>
      <c r="Y814" s="1578"/>
      <c r="Z814" s="1578"/>
      <c r="AA814" s="1578"/>
      <c r="AB814" s="1578"/>
      <c r="AC814" s="1575"/>
      <c r="AD814" s="1576"/>
      <c r="AE814" s="1576"/>
      <c r="AF814" s="1577"/>
      <c r="AG814" s="1575"/>
      <c r="AH814" s="1576"/>
      <c r="AI814" s="1576"/>
      <c r="AJ814" s="1577"/>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 customHeight="1">
      <c r="A815"/>
      <c r="B815"/>
      <c r="C815" s="59" t="s">
        <v>295</v>
      </c>
      <c r="D815" s="60"/>
      <c r="E815" s="60"/>
      <c r="F815" s="1599" t="s">
        <v>336</v>
      </c>
      <c r="G815" s="1600"/>
      <c r="H815" s="1600"/>
      <c r="I815" s="1600"/>
      <c r="J815" s="1600"/>
      <c r="K815" s="1600"/>
      <c r="L815" s="1600"/>
      <c r="M815" s="1578"/>
      <c r="N815" s="1578"/>
      <c r="O815" s="1578"/>
      <c r="P815" s="1578"/>
      <c r="Q815" s="1578"/>
      <c r="R815" s="1578"/>
      <c r="S815" s="1578"/>
      <c r="T815" s="1578"/>
      <c r="U815" s="1578"/>
      <c r="V815" s="1578"/>
      <c r="W815" s="1578"/>
      <c r="X815" s="1578"/>
      <c r="Y815" s="1578"/>
      <c r="Z815" s="1578"/>
      <c r="AA815" s="1578"/>
      <c r="AB815" s="1578"/>
      <c r="AC815" s="1575"/>
      <c r="AD815" s="1576"/>
      <c r="AE815" s="1576"/>
      <c r="AF815" s="1577"/>
      <c r="AG815" s="1575"/>
      <c r="AH815" s="1576"/>
      <c r="AI815" s="1576"/>
      <c r="AJ815" s="1577"/>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 customHeight="1">
      <c r="A816"/>
      <c r="B816"/>
      <c r="C816" s="1517" t="s">
        <v>125</v>
      </c>
      <c r="D816" s="1518"/>
      <c r="E816" s="1518"/>
      <c r="F816" s="1518"/>
      <c r="G816" s="1518"/>
      <c r="H816" s="1518"/>
      <c r="I816" s="1518"/>
      <c r="J816" s="1518"/>
      <c r="K816" s="1518"/>
      <c r="L816" s="1520"/>
      <c r="M816" s="1612">
        <f>SUM(M809:P815)</f>
        <v>0</v>
      </c>
      <c r="N816" s="1612"/>
      <c r="O816" s="1612"/>
      <c r="P816" s="1612"/>
      <c r="Q816" s="1612">
        <f>SUM(Q809:T815)</f>
        <v>0</v>
      </c>
      <c r="R816" s="1612"/>
      <c r="S816" s="1612"/>
      <c r="T816" s="1612"/>
      <c r="U816" s="1612">
        <f>SUM(U809:X815)</f>
        <v>0</v>
      </c>
      <c r="V816" s="1612"/>
      <c r="W816" s="1612"/>
      <c r="X816" s="1612"/>
      <c r="Y816" s="1612">
        <f>SUM(Y809:AB815)</f>
        <v>0</v>
      </c>
      <c r="Z816" s="1612"/>
      <c r="AA816" s="1612"/>
      <c r="AB816" s="1612"/>
      <c r="AC816" s="1612">
        <f>SUM(AC809:AF815)</f>
        <v>0</v>
      </c>
      <c r="AD816" s="1612"/>
      <c r="AE816" s="1612"/>
      <c r="AF816" s="1612"/>
      <c r="AG816" s="1612">
        <f>SUM(AG809:AJ815)</f>
        <v>0</v>
      </c>
      <c r="AH816" s="1612"/>
      <c r="AI816" s="1612"/>
      <c r="AJ816" s="1612"/>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 customHeight="1">
      <c r="A821"/>
      <c r="B821"/>
      <c r="C821" s="1670" t="s">
        <v>2729</v>
      </c>
      <c r="D821" s="1671"/>
      <c r="E821" s="1671"/>
      <c r="F821" s="1671"/>
      <c r="G821" s="1671"/>
      <c r="H821" s="1671"/>
      <c r="I821" s="1671"/>
      <c r="J821" s="1671"/>
      <c r="K821" s="1671"/>
      <c r="L821" s="1671"/>
      <c r="M821" s="1671"/>
      <c r="N821" s="1671"/>
      <c r="O821" s="1671"/>
      <c r="P821" s="1671"/>
      <c r="Q821" s="1671"/>
      <c r="R821" s="1671"/>
      <c r="S821" s="1671"/>
      <c r="T821" s="1671"/>
      <c r="U821" s="1671"/>
      <c r="V821" s="1671"/>
      <c r="W821" s="1671"/>
      <c r="X821" s="1671"/>
      <c r="Y821" s="1671"/>
      <c r="Z821" s="1671"/>
      <c r="AA821" s="1671"/>
      <c r="AB821" s="1671"/>
      <c r="AC821" s="1671"/>
      <c r="AD821" s="1671"/>
      <c r="AE821" s="1671"/>
      <c r="AF821" s="1671"/>
      <c r="AG821" s="1671"/>
      <c r="AH821" s="1671"/>
      <c r="AI821" s="1671"/>
      <c r="AJ821" s="1672"/>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 customHeight="1">
      <c r="A822"/>
      <c r="C822" s="3" t="s">
        <v>1297</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 customHeight="1">
      <c r="A826"/>
      <c r="B826"/>
      <c r="C826" s="2" t="s">
        <v>345</v>
      </c>
      <c r="D826"/>
      <c r="E826"/>
      <c r="F826"/>
      <c r="G826"/>
      <c r="H826"/>
      <c r="I826"/>
      <c r="J826" s="45" t="s">
        <v>358</v>
      </c>
      <c r="K826" s="5"/>
      <c r="L826" s="5"/>
      <c r="M826" s="5"/>
      <c r="N826" s="5"/>
      <c r="O826" s="5"/>
      <c r="P826" s="5"/>
      <c r="Q826" s="5"/>
      <c r="R826" s="5"/>
      <c r="S826" s="5"/>
      <c r="T826" s="5"/>
      <c r="U826" s="5"/>
      <c r="V826" s="46"/>
      <c r="W826" s="1616">
        <v>14000</v>
      </c>
      <c r="X826" s="1616"/>
      <c r="Y826" s="1616"/>
      <c r="Z826" s="1616"/>
      <c r="AA826" s="1616"/>
      <c r="AB826" s="1616"/>
      <c r="AC826" s="1616"/>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 customHeight="1">
      <c r="A827"/>
      <c r="B827"/>
      <c r="C827"/>
      <c r="D827"/>
      <c r="E827"/>
      <c r="F827"/>
      <c r="G827"/>
      <c r="H827"/>
      <c r="I827"/>
      <c r="J827" s="45" t="s">
        <v>357</v>
      </c>
      <c r="K827" s="5"/>
      <c r="L827" s="5"/>
      <c r="M827" s="5"/>
      <c r="N827" s="5"/>
      <c r="O827" s="5"/>
      <c r="P827" s="5"/>
      <c r="Q827" s="5"/>
      <c r="R827" s="5"/>
      <c r="S827" s="5"/>
      <c r="T827" s="5"/>
      <c r="U827" s="5"/>
      <c r="V827" s="46"/>
      <c r="W827" s="1616">
        <v>9000</v>
      </c>
      <c r="X827" s="1616"/>
      <c r="Y827" s="1616"/>
      <c r="Z827" s="1616"/>
      <c r="AA827" s="1616"/>
      <c r="AB827" s="1616"/>
      <c r="AC827" s="1616"/>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 customHeight="1">
      <c r="A828"/>
      <c r="B828"/>
      <c r="C828"/>
      <c r="D828"/>
      <c r="E828"/>
      <c r="F828"/>
      <c r="G828"/>
      <c r="H828"/>
      <c r="I828"/>
      <c r="J828" s="45" t="s">
        <v>356</v>
      </c>
      <c r="K828" s="5"/>
      <c r="L828" s="5"/>
      <c r="M828" s="5"/>
      <c r="N828" s="5"/>
      <c r="O828" s="5"/>
      <c r="P828" s="5"/>
      <c r="Q828" s="5"/>
      <c r="R828" s="5"/>
      <c r="S828" s="5"/>
      <c r="T828" s="5"/>
      <c r="U828" s="5"/>
      <c r="V828" s="46"/>
      <c r="W828" s="1616">
        <v>9000</v>
      </c>
      <c r="X828" s="1616"/>
      <c r="Y828" s="1616"/>
      <c r="Z828" s="1616"/>
      <c r="AA828" s="1616"/>
      <c r="AB828" s="1616"/>
      <c r="AC828" s="1616"/>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 customHeight="1">
      <c r="A829"/>
      <c r="B829"/>
      <c r="C829"/>
      <c r="D829"/>
      <c r="E829"/>
      <c r="F829"/>
      <c r="G829"/>
      <c r="H829"/>
      <c r="I829"/>
      <c r="J829" s="45" t="s">
        <v>355</v>
      </c>
      <c r="K829" s="5"/>
      <c r="L829" s="5"/>
      <c r="M829" s="5"/>
      <c r="N829" s="5"/>
      <c r="O829" s="5"/>
      <c r="P829" s="5"/>
      <c r="Q829" s="5"/>
      <c r="R829" s="5"/>
      <c r="S829" s="5"/>
      <c r="T829" s="5"/>
      <c r="U829" s="5"/>
      <c r="V829" s="46"/>
      <c r="W829" s="1616"/>
      <c r="X829" s="1616"/>
      <c r="Y829" s="1616"/>
      <c r="Z829" s="1616"/>
      <c r="AA829" s="1616"/>
      <c r="AB829" s="1616"/>
      <c r="AC829" s="1616"/>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 customHeight="1">
      <c r="A830"/>
      <c r="B830"/>
      <c r="C830"/>
      <c r="D830"/>
      <c r="E830"/>
      <c r="F830"/>
      <c r="G830"/>
      <c r="H830"/>
      <c r="I830"/>
      <c r="J830" s="45" t="s">
        <v>171</v>
      </c>
      <c r="K830" s="5"/>
      <c r="L830" s="5"/>
      <c r="M830" s="1599" t="s">
        <v>2692</v>
      </c>
      <c r="N830" s="1600"/>
      <c r="O830" s="1600"/>
      <c r="P830" s="1600"/>
      <c r="Q830" s="1600"/>
      <c r="R830" s="1600"/>
      <c r="S830" s="1600"/>
      <c r="T830" s="1600"/>
      <c r="U830" s="1600"/>
      <c r="V830" s="1601"/>
      <c r="W830" s="1616">
        <v>48000</v>
      </c>
      <c r="X830" s="1616"/>
      <c r="Y830" s="1616"/>
      <c r="Z830" s="1616"/>
      <c r="AA830" s="1616"/>
      <c r="AB830" s="1616"/>
      <c r="AC830" s="1616"/>
      <c r="AD830"/>
      <c r="AE830"/>
      <c r="AF830"/>
      <c r="AG830"/>
      <c r="AH830"/>
      <c r="AI830"/>
      <c r="AJ830"/>
      <c r="AK830"/>
      <c r="AL830"/>
      <c r="AM830"/>
      <c r="AN830"/>
      <c r="AO830"/>
      <c r="AP830"/>
      <c r="AQ830"/>
      <c r="AR830"/>
      <c r="AS830"/>
      <c r="AT830"/>
      <c r="AU830"/>
      <c r="AV830"/>
      <c r="AW830"/>
      <c r="AX830"/>
      <c r="AY830"/>
      <c r="BI830" s="1631">
        <f>ROUNDDOWN(BC918*2,2)</f>
        <v>0</v>
      </c>
      <c r="BJ830" s="1631"/>
      <c r="BK830" s="1631"/>
      <c r="BL830" s="1631"/>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 customHeight="1">
      <c r="A831"/>
      <c r="B831"/>
      <c r="C831"/>
      <c r="D831"/>
      <c r="E831"/>
      <c r="F831"/>
      <c r="G831"/>
      <c r="H831"/>
      <c r="I831"/>
      <c r="J831" s="45"/>
      <c r="K831" s="5"/>
      <c r="L831" s="5"/>
      <c r="M831" s="5"/>
      <c r="N831" s="5"/>
      <c r="O831" s="5"/>
      <c r="P831" s="5"/>
      <c r="Q831" s="5"/>
      <c r="R831" s="5"/>
      <c r="S831" s="5"/>
      <c r="T831" s="5"/>
      <c r="U831" s="5"/>
      <c r="V831" s="54" t="s">
        <v>344</v>
      </c>
      <c r="W831" s="1514">
        <f>SUM(W826:AC830)</f>
        <v>80000</v>
      </c>
      <c r="X831" s="1515"/>
      <c r="Y831" s="1515"/>
      <c r="Z831" s="1515"/>
      <c r="AA831" s="1515"/>
      <c r="AB831" s="1515"/>
      <c r="AC831" s="1516"/>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 customHeight="1">
      <c r="A833"/>
      <c r="B833"/>
      <c r="C833" s="2" t="s">
        <v>346</v>
      </c>
      <c r="D833"/>
      <c r="E833"/>
      <c r="F833"/>
      <c r="G833"/>
      <c r="H833"/>
      <c r="I833"/>
      <c r="J833" s="1517" t="s">
        <v>347</v>
      </c>
      <c r="K833" s="1518"/>
      <c r="L833" s="1518"/>
      <c r="M833" s="1518"/>
      <c r="N833" s="1518"/>
      <c r="O833" s="1518"/>
      <c r="P833" s="1518"/>
      <c r="Q833" s="1518"/>
      <c r="R833" s="1518"/>
      <c r="S833" s="1518"/>
      <c r="T833" s="1518"/>
      <c r="U833" s="1518"/>
      <c r="V833" s="1520"/>
      <c r="W833" s="1596">
        <v>132460</v>
      </c>
      <c r="X833" s="1597"/>
      <c r="Y833" s="1597"/>
      <c r="Z833" s="1597"/>
      <c r="AA833" s="1597"/>
      <c r="AB833" s="1597"/>
      <c r="AC833" s="1598"/>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 customHeight="1">
      <c r="A835"/>
      <c r="B835"/>
      <c r="C835" s="2" t="s">
        <v>571</v>
      </c>
      <c r="D835"/>
      <c r="E835"/>
      <c r="F835"/>
      <c r="G835"/>
      <c r="H835"/>
      <c r="I835"/>
      <c r="J835" s="45" t="s">
        <v>354</v>
      </c>
      <c r="K835" s="5"/>
      <c r="L835" s="5"/>
      <c r="M835" s="5"/>
      <c r="N835" s="5"/>
      <c r="O835" s="5"/>
      <c r="P835" s="5"/>
      <c r="Q835" s="5"/>
      <c r="R835" s="5"/>
      <c r="S835" s="5"/>
      <c r="T835" s="5"/>
      <c r="U835" s="5"/>
      <c r="V835" s="46"/>
      <c r="W835" s="1613"/>
      <c r="X835" s="1613"/>
      <c r="Y835" s="1613"/>
      <c r="Z835" s="1613"/>
      <c r="AA835" s="1613"/>
      <c r="AB835" s="1613"/>
      <c r="AC835" s="1613"/>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 customHeight="1">
      <c r="A836"/>
      <c r="B836"/>
      <c r="C836"/>
      <c r="D836"/>
      <c r="E836"/>
      <c r="F836"/>
      <c r="G836"/>
      <c r="H836"/>
      <c r="I836"/>
      <c r="J836" s="45" t="s">
        <v>353</v>
      </c>
      <c r="K836" s="5"/>
      <c r="L836" s="5"/>
      <c r="M836" s="5"/>
      <c r="N836" s="5"/>
      <c r="O836" s="5"/>
      <c r="P836" s="5"/>
      <c r="Q836" s="5"/>
      <c r="R836" s="5"/>
      <c r="S836" s="5"/>
      <c r="T836" s="5"/>
      <c r="U836" s="5"/>
      <c r="V836" s="46"/>
      <c r="W836" s="1613">
        <v>18000</v>
      </c>
      <c r="X836" s="1613"/>
      <c r="Y836" s="1613"/>
      <c r="Z836" s="1613"/>
      <c r="AA836" s="1613"/>
      <c r="AB836" s="1613"/>
      <c r="AC836" s="1613"/>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 customHeight="1">
      <c r="A837"/>
      <c r="B837"/>
      <c r="C837"/>
      <c r="D837"/>
      <c r="E837"/>
      <c r="F837"/>
      <c r="G837"/>
      <c r="H837"/>
      <c r="I837"/>
      <c r="J837" s="45" t="s">
        <v>469</v>
      </c>
      <c r="K837" s="5"/>
      <c r="L837" s="5"/>
      <c r="M837" s="5"/>
      <c r="N837" s="5"/>
      <c r="O837" s="5"/>
      <c r="P837" s="5"/>
      <c r="Q837" s="5"/>
      <c r="R837" s="5"/>
      <c r="S837" s="5"/>
      <c r="T837" s="5"/>
      <c r="U837" s="5"/>
      <c r="V837" s="46"/>
      <c r="W837" s="1613">
        <v>132000</v>
      </c>
      <c r="X837" s="1613"/>
      <c r="Y837" s="1613"/>
      <c r="Z837" s="1613"/>
      <c r="AA837" s="1613"/>
      <c r="AB837" s="1613"/>
      <c r="AC837" s="1613"/>
      <c r="AD837"/>
      <c r="AE837"/>
      <c r="AF837"/>
      <c r="AG837"/>
      <c r="AH837"/>
      <c r="AI837"/>
      <c r="AJ837"/>
      <c r="AK837"/>
      <c r="AL837"/>
      <c r="AM837"/>
      <c r="AN837"/>
      <c r="AO837"/>
      <c r="AP837"/>
      <c r="AQ837"/>
      <c r="AR837"/>
      <c r="AS837"/>
      <c r="AT837"/>
      <c r="AU837"/>
      <c r="AV837"/>
      <c r="AW837"/>
      <c r="AX837"/>
      <c r="AY837"/>
      <c r="AZ837" s="30"/>
      <c r="BA837" s="30"/>
      <c r="BG837" s="1611"/>
      <c r="BH837" s="1611"/>
      <c r="BI837" s="1611"/>
      <c r="BJ837" s="1611"/>
      <c r="BK837" s="1611"/>
      <c r="BL837" s="1611"/>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 customHeight="1">
      <c r="A838"/>
      <c r="B838"/>
      <c r="C838"/>
      <c r="D838"/>
      <c r="E838"/>
      <c r="F838"/>
      <c r="G838"/>
      <c r="H838"/>
      <c r="I838"/>
      <c r="J838" s="62" t="s">
        <v>630</v>
      </c>
      <c r="K838" s="5"/>
      <c r="L838" s="5"/>
      <c r="M838" s="5"/>
      <c r="N838" s="5"/>
      <c r="O838" s="5"/>
      <c r="P838" s="5"/>
      <c r="Q838" s="5"/>
      <c r="R838" s="5"/>
      <c r="S838" s="5"/>
      <c r="T838" s="5"/>
      <c r="U838" s="5"/>
      <c r="V838" s="46"/>
      <c r="W838" s="1613">
        <v>145000</v>
      </c>
      <c r="X838" s="1613"/>
      <c r="Y838" s="1613"/>
      <c r="Z838" s="1613"/>
      <c r="AA838" s="1613"/>
      <c r="AB838" s="1613"/>
      <c r="AC838" s="1613"/>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 customHeight="1">
      <c r="A839"/>
      <c r="B839"/>
      <c r="C839"/>
      <c r="D839"/>
      <c r="E839"/>
      <c r="F839"/>
      <c r="G839"/>
      <c r="H839"/>
      <c r="I839"/>
      <c r="J839" s="63"/>
      <c r="K839" s="48"/>
      <c r="L839" s="48"/>
      <c r="M839" s="48"/>
      <c r="N839" s="48"/>
      <c r="O839" s="48"/>
      <c r="P839" s="48"/>
      <c r="Q839" s="48"/>
      <c r="R839" s="48"/>
      <c r="S839" s="48"/>
      <c r="T839" s="48"/>
      <c r="U839" s="48"/>
      <c r="V839" s="54" t="s">
        <v>274</v>
      </c>
      <c r="W839" s="1637">
        <f>SUM(W835:AC838)</f>
        <v>295000</v>
      </c>
      <c r="X839" s="1637"/>
      <c r="Y839" s="1637"/>
      <c r="Z839" s="1637"/>
      <c r="AA839" s="1637"/>
      <c r="AB839" s="1637"/>
      <c r="AC839" s="1637"/>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33">
        <f>SUM(AZ807:AZ835)</f>
        <v>7.5000000000000011E-2</v>
      </c>
      <c r="BA840" s="1633"/>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 customHeight="1">
      <c r="A841"/>
      <c r="B841"/>
      <c r="C841" s="2" t="s">
        <v>348</v>
      </c>
      <c r="D841"/>
      <c r="E841"/>
      <c r="F841"/>
      <c r="G841"/>
      <c r="H841"/>
      <c r="I841"/>
      <c r="J841" s="45" t="s">
        <v>629</v>
      </c>
      <c r="K841" s="5"/>
      <c r="L841" s="5"/>
      <c r="M841" s="5"/>
      <c r="N841" s="5"/>
      <c r="O841" s="5"/>
      <c r="P841" s="5"/>
      <c r="Q841" s="5"/>
      <c r="R841" s="5"/>
      <c r="S841" s="5"/>
      <c r="T841" s="5"/>
      <c r="U841" s="5"/>
      <c r="V841" s="46"/>
      <c r="W841" s="1621">
        <v>130000</v>
      </c>
      <c r="X841" s="1622"/>
      <c r="Y841" s="1622"/>
      <c r="Z841" s="1622"/>
      <c r="AA841" s="1622"/>
      <c r="AB841" s="1622"/>
      <c r="AC841" s="1623"/>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 customHeight="1">
      <c r="A842"/>
      <c r="B842"/>
      <c r="C842" s="2" t="s">
        <v>349</v>
      </c>
      <c r="D842"/>
      <c r="E842"/>
      <c r="F842"/>
      <c r="G842"/>
      <c r="H842"/>
      <c r="I842"/>
      <c r="J842" s="121" t="s">
        <v>1834</v>
      </c>
      <c r="K842" s="5"/>
      <c r="L842" s="5"/>
      <c r="M842" s="5"/>
      <c r="N842" s="5"/>
      <c r="O842" s="5"/>
      <c r="P842" s="5"/>
      <c r="Q842" s="5"/>
      <c r="R842" s="5"/>
      <c r="S842" s="5"/>
      <c r="T842" s="1677">
        <v>3</v>
      </c>
      <c r="U842" s="1528"/>
      <c r="V842" s="1678"/>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 customHeight="1">
      <c r="C843" s="2"/>
      <c r="J843" s="45" t="s">
        <v>628</v>
      </c>
      <c r="K843" s="5"/>
      <c r="L843" s="5"/>
      <c r="M843" s="5"/>
      <c r="N843" s="5"/>
      <c r="O843" s="5"/>
      <c r="P843" s="5"/>
      <c r="Q843" s="5"/>
      <c r="R843" s="5"/>
      <c r="S843" s="5"/>
      <c r="T843" s="5"/>
      <c r="U843" s="5"/>
      <c r="V843" s="46"/>
      <c r="W843" s="1621">
        <v>125000</v>
      </c>
      <c r="X843" s="1622"/>
      <c r="Y843" s="1622"/>
      <c r="Z843" s="1622"/>
      <c r="AA843" s="1622"/>
      <c r="AB843" s="1622"/>
      <c r="AC843" s="1623"/>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 customHeight="1">
      <c r="C844" s="2"/>
      <c r="J844" s="121" t="s">
        <v>1835</v>
      </c>
      <c r="K844" s="5"/>
      <c r="L844" s="5"/>
      <c r="M844" s="5"/>
      <c r="N844" s="5"/>
      <c r="O844" s="5"/>
      <c r="P844" s="5"/>
      <c r="Q844" s="5"/>
      <c r="R844" s="5"/>
      <c r="S844" s="5"/>
      <c r="T844" s="1677">
        <v>2</v>
      </c>
      <c r="U844" s="1528"/>
      <c r="V844" s="1678"/>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 customHeight="1">
      <c r="J845" s="45" t="s">
        <v>171</v>
      </c>
      <c r="K845" s="5"/>
      <c r="L845" s="5"/>
      <c r="M845" s="1599" t="s">
        <v>2693</v>
      </c>
      <c r="N845" s="1600"/>
      <c r="O845" s="1600"/>
      <c r="P845" s="1600"/>
      <c r="Q845" s="1600"/>
      <c r="R845" s="1600"/>
      <c r="S845" s="1600"/>
      <c r="T845" s="1600"/>
      <c r="U845" s="1600"/>
      <c r="V845" s="1601"/>
      <c r="W845" s="1621">
        <v>70000</v>
      </c>
      <c r="X845" s="1622"/>
      <c r="Y845" s="1622"/>
      <c r="Z845" s="1622"/>
      <c r="AA845" s="1622"/>
      <c r="AB845" s="1622"/>
      <c r="AC845" s="1623"/>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 customHeight="1">
      <c r="J846" s="45"/>
      <c r="K846" s="5"/>
      <c r="L846" s="5"/>
      <c r="M846" s="5"/>
      <c r="N846" s="5"/>
      <c r="O846" s="5"/>
      <c r="P846" s="5"/>
      <c r="Q846" s="5"/>
      <c r="R846" s="5"/>
      <c r="S846" s="5"/>
      <c r="T846" s="5"/>
      <c r="U846" s="5"/>
      <c r="V846" s="54" t="s">
        <v>275</v>
      </c>
      <c r="W846" s="1634">
        <f>SUM(W841:AC845)</f>
        <v>325000</v>
      </c>
      <c r="X846" s="1635"/>
      <c r="Y846" s="1635"/>
      <c r="Z846" s="1635"/>
      <c r="AA846" s="1635"/>
      <c r="AB846" s="1635"/>
      <c r="AC846" s="1636"/>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 customHeight="1">
      <c r="J847" s="45"/>
      <c r="K847" s="5"/>
      <c r="L847" s="5"/>
      <c r="M847" s="5"/>
      <c r="N847" s="5"/>
      <c r="O847" s="5"/>
      <c r="P847" s="5"/>
      <c r="Q847" s="5"/>
      <c r="R847" s="5"/>
      <c r="S847" s="5"/>
      <c r="T847" s="5"/>
      <c r="U847" s="5"/>
      <c r="V847" s="54" t="s">
        <v>276</v>
      </c>
      <c r="W847" s="1621">
        <v>100000</v>
      </c>
      <c r="X847" s="1622"/>
      <c r="Y847" s="1622"/>
      <c r="Z847" s="1622"/>
      <c r="AA847" s="1622"/>
      <c r="AB847" s="1622"/>
      <c r="AC847" s="1623"/>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 customHeight="1">
      <c r="C849" s="2" t="s">
        <v>392</v>
      </c>
      <c r="J849" s="45" t="s">
        <v>627</v>
      </c>
      <c r="K849" s="5"/>
      <c r="L849" s="5"/>
      <c r="M849" s="5"/>
      <c r="N849" s="5"/>
      <c r="O849" s="5"/>
      <c r="P849" s="5"/>
      <c r="Q849" s="5"/>
      <c r="R849" s="5"/>
      <c r="S849" s="5"/>
      <c r="T849" s="5"/>
      <c r="U849" s="5"/>
      <c r="V849" s="46"/>
      <c r="W849" s="1616">
        <v>20000</v>
      </c>
      <c r="X849" s="1616"/>
      <c r="Y849" s="1616"/>
      <c r="Z849" s="1616"/>
      <c r="AA849" s="1616"/>
      <c r="AB849" s="1616"/>
      <c r="AC849" s="1616"/>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 customHeight="1">
      <c r="J850" s="45" t="s">
        <v>532</v>
      </c>
      <c r="K850" s="5"/>
      <c r="L850" s="5"/>
      <c r="M850" s="5"/>
      <c r="N850" s="5"/>
      <c r="O850" s="5"/>
      <c r="P850" s="5"/>
      <c r="Q850" s="5"/>
      <c r="R850" s="5"/>
      <c r="S850" s="5"/>
      <c r="T850" s="5"/>
      <c r="U850" s="5"/>
      <c r="V850" s="46"/>
      <c r="W850" s="1616">
        <v>34000</v>
      </c>
      <c r="X850" s="1616"/>
      <c r="Y850" s="1616"/>
      <c r="Z850" s="1616"/>
      <c r="AA850" s="1616"/>
      <c r="AB850" s="1616"/>
      <c r="AC850" s="1616"/>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 customHeight="1">
      <c r="J851" s="45" t="s">
        <v>531</v>
      </c>
      <c r="K851" s="5"/>
      <c r="L851" s="5"/>
      <c r="M851" s="5"/>
      <c r="N851" s="5"/>
      <c r="O851" s="5"/>
      <c r="P851" s="5"/>
      <c r="Q851" s="5"/>
      <c r="R851" s="5"/>
      <c r="S851" s="5"/>
      <c r="T851" s="5"/>
      <c r="U851" s="5"/>
      <c r="V851" s="46"/>
      <c r="W851" s="1616">
        <v>15000</v>
      </c>
      <c r="X851" s="1616"/>
      <c r="Y851" s="1616"/>
      <c r="Z851" s="1616"/>
      <c r="AA851" s="1616"/>
      <c r="AB851" s="1616"/>
      <c r="AC851" s="1616"/>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 customHeight="1">
      <c r="J852" s="45" t="s">
        <v>530</v>
      </c>
      <c r="K852" s="5"/>
      <c r="L852" s="5"/>
      <c r="M852" s="5"/>
      <c r="N852" s="5"/>
      <c r="O852" s="5"/>
      <c r="P852" s="5"/>
      <c r="Q852" s="5"/>
      <c r="R852" s="5"/>
      <c r="S852" s="5"/>
      <c r="T852" s="5"/>
      <c r="U852" s="5"/>
      <c r="V852" s="46"/>
      <c r="W852" s="1616">
        <v>10000</v>
      </c>
      <c r="X852" s="1616"/>
      <c r="Y852" s="1616"/>
      <c r="Z852" s="1616"/>
      <c r="AA852" s="1616"/>
      <c r="AB852" s="1616"/>
      <c r="AC852" s="1616"/>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 customHeight="1">
      <c r="J853" s="45" t="s">
        <v>529</v>
      </c>
      <c r="K853" s="5"/>
      <c r="L853" s="5"/>
      <c r="M853" s="5"/>
      <c r="N853" s="5"/>
      <c r="O853" s="5"/>
      <c r="P853" s="5"/>
      <c r="Q853" s="5"/>
      <c r="R853" s="5"/>
      <c r="S853" s="5"/>
      <c r="T853" s="5"/>
      <c r="U853" s="5"/>
      <c r="V853" s="46"/>
      <c r="W853" s="1616">
        <v>35000</v>
      </c>
      <c r="X853" s="1616"/>
      <c r="Y853" s="1616"/>
      <c r="Z853" s="1616"/>
      <c r="AA853" s="1616"/>
      <c r="AB853" s="1616"/>
      <c r="AC853" s="1616"/>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 customHeight="1">
      <c r="J854" s="45" t="s">
        <v>528</v>
      </c>
      <c r="K854" s="5"/>
      <c r="L854" s="5"/>
      <c r="M854" s="5"/>
      <c r="N854" s="5"/>
      <c r="O854" s="5"/>
      <c r="P854" s="5"/>
      <c r="Q854" s="5"/>
      <c r="R854" s="5"/>
      <c r="S854" s="5"/>
      <c r="T854" s="5"/>
      <c r="U854" s="5"/>
      <c r="V854" s="46"/>
      <c r="W854" s="1616">
        <v>25000</v>
      </c>
      <c r="X854" s="1616"/>
      <c r="Y854" s="1616"/>
      <c r="Z854" s="1616"/>
      <c r="AA854" s="1616"/>
      <c r="AB854" s="1616"/>
      <c r="AC854" s="1616"/>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 customHeight="1">
      <c r="J855" s="45" t="s">
        <v>171</v>
      </c>
      <c r="K855" s="5"/>
      <c r="L855" s="5"/>
      <c r="M855" s="1599" t="s">
        <v>2694</v>
      </c>
      <c r="N855" s="1600"/>
      <c r="O855" s="1600"/>
      <c r="P855" s="1600"/>
      <c r="Q855" s="1600"/>
      <c r="R855" s="1600"/>
      <c r="S855" s="1600"/>
      <c r="T855" s="1600"/>
      <c r="U855" s="1600"/>
      <c r="V855" s="1601"/>
      <c r="W855" s="1616">
        <v>33200</v>
      </c>
      <c r="X855" s="1616"/>
      <c r="Y855" s="1616"/>
      <c r="Z855" s="1616"/>
      <c r="AA855" s="1616"/>
      <c r="AB855" s="1616"/>
      <c r="AC855" s="1616"/>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 customHeight="1">
      <c r="J856" s="45"/>
      <c r="K856" s="5"/>
      <c r="L856" s="5"/>
      <c r="M856" s="5"/>
      <c r="N856" s="5"/>
      <c r="O856" s="5"/>
      <c r="P856" s="5"/>
      <c r="Q856" s="5"/>
      <c r="R856" s="5"/>
      <c r="S856" s="5"/>
      <c r="T856" s="5"/>
      <c r="U856" s="5"/>
      <c r="V856" s="54" t="s">
        <v>277</v>
      </c>
      <c r="W856" s="1632">
        <f>SUM(W849:AC855)</f>
        <v>172200</v>
      </c>
      <c r="X856" s="1632"/>
      <c r="Y856" s="1632"/>
      <c r="Z856" s="1632"/>
      <c r="AA856" s="1632"/>
      <c r="AB856" s="1632"/>
      <c r="AC856" s="1632"/>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 customHeight="1">
      <c r="C858" s="2" t="s">
        <v>1390</v>
      </c>
      <c r="J858" s="45" t="s">
        <v>171</v>
      </c>
      <c r="K858" s="5"/>
      <c r="L858" s="5"/>
      <c r="M858" s="1599" t="s">
        <v>336</v>
      </c>
      <c r="N858" s="1600"/>
      <c r="O858" s="1600"/>
      <c r="P858" s="1600"/>
      <c r="Q858" s="1600"/>
      <c r="R858" s="1600"/>
      <c r="S858" s="1600"/>
      <c r="T858" s="1600"/>
      <c r="U858" s="1600"/>
      <c r="V858" s="1601"/>
      <c r="W858" s="1596"/>
      <c r="X858" s="1597"/>
      <c r="Y858" s="1597"/>
      <c r="Z858" s="1597"/>
      <c r="AA858" s="1597"/>
      <c r="AB858" s="1597"/>
      <c r="AC858" s="1598"/>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 customHeight="1">
      <c r="C859" s="2" t="s">
        <v>1391</v>
      </c>
      <c r="J859" s="45" t="s">
        <v>171</v>
      </c>
      <c r="K859" s="5"/>
      <c r="L859" s="5"/>
      <c r="M859" s="1599" t="s">
        <v>336</v>
      </c>
      <c r="N859" s="1600"/>
      <c r="O859" s="1600"/>
      <c r="P859" s="1600"/>
      <c r="Q859" s="1600"/>
      <c r="R859" s="1600"/>
      <c r="S859" s="1600"/>
      <c r="T859" s="1600"/>
      <c r="U859" s="1600"/>
      <c r="V859" s="1601"/>
      <c r="W859" s="1596"/>
      <c r="X859" s="1597"/>
      <c r="Y859" s="1597"/>
      <c r="Z859" s="1597"/>
      <c r="AA859" s="1597"/>
      <c r="AB859" s="1597"/>
      <c r="AC859" s="1598"/>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 customHeight="1">
      <c r="J860" s="45" t="s">
        <v>171</v>
      </c>
      <c r="K860" s="5"/>
      <c r="L860" s="5"/>
      <c r="M860" s="1599" t="s">
        <v>336</v>
      </c>
      <c r="N860" s="1600"/>
      <c r="O860" s="1600"/>
      <c r="P860" s="1600"/>
      <c r="Q860" s="1600"/>
      <c r="R860" s="1600"/>
      <c r="S860" s="1600"/>
      <c r="T860" s="1600"/>
      <c r="U860" s="1600"/>
      <c r="V860" s="1601"/>
      <c r="W860" s="1596"/>
      <c r="X860" s="1597"/>
      <c r="Y860" s="1597"/>
      <c r="Z860" s="1597"/>
      <c r="AA860" s="1597"/>
      <c r="AB860" s="1597"/>
      <c r="AC860" s="1598"/>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 customHeight="1">
      <c r="J861" s="45" t="s">
        <v>171</v>
      </c>
      <c r="K861" s="5"/>
      <c r="L861" s="5"/>
      <c r="M861" s="1599" t="s">
        <v>336</v>
      </c>
      <c r="N861" s="1600"/>
      <c r="O861" s="1600"/>
      <c r="P861" s="1600"/>
      <c r="Q861" s="1600"/>
      <c r="R861" s="1600"/>
      <c r="S861" s="1600"/>
      <c r="T861" s="1600"/>
      <c r="U861" s="1600"/>
      <c r="V861" s="1601"/>
      <c r="W861" s="1596"/>
      <c r="X861" s="1597"/>
      <c r="Y861" s="1597"/>
      <c r="Z861" s="1597"/>
      <c r="AA861" s="1597"/>
      <c r="AB861" s="1597"/>
      <c r="AC861" s="1598"/>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 customHeight="1">
      <c r="J862" s="45" t="s">
        <v>171</v>
      </c>
      <c r="K862" s="5"/>
      <c r="L862" s="5"/>
      <c r="M862" s="1599" t="s">
        <v>336</v>
      </c>
      <c r="N862" s="1600"/>
      <c r="O862" s="1600"/>
      <c r="P862" s="1600"/>
      <c r="Q862" s="1600"/>
      <c r="R862" s="1600"/>
      <c r="S862" s="1600"/>
      <c r="T862" s="1600"/>
      <c r="U862" s="1600"/>
      <c r="V862" s="1601"/>
      <c r="W862" s="1596"/>
      <c r="X862" s="1597"/>
      <c r="Y862" s="1597"/>
      <c r="Z862" s="1597"/>
      <c r="AA862" s="1597"/>
      <c r="AB862" s="1597"/>
      <c r="AC862" s="1598"/>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 customHeight="1">
      <c r="J863" s="45"/>
      <c r="K863" s="5"/>
      <c r="L863" s="5"/>
      <c r="M863" s="5"/>
      <c r="N863" s="5"/>
      <c r="O863" s="5"/>
      <c r="P863" s="5"/>
      <c r="Q863" s="5"/>
      <c r="R863" s="5"/>
      <c r="S863" s="5"/>
      <c r="T863" s="5"/>
      <c r="U863" s="5"/>
      <c r="V863" s="54" t="s">
        <v>278</v>
      </c>
      <c r="W863" s="1514">
        <f>SUM(W858:AC862)</f>
        <v>0</v>
      </c>
      <c r="X863" s="1515"/>
      <c r="Y863" s="1515"/>
      <c r="Z863" s="1515"/>
      <c r="AA863" s="1515"/>
      <c r="AB863" s="1515"/>
      <c r="AC863" s="1516"/>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15">
        <f>W831+W839+W846+W847+W856+W863+W833</f>
        <v>1104660</v>
      </c>
      <c r="AD867" s="1515"/>
      <c r="AE867" s="1515"/>
      <c r="AF867" s="1515"/>
      <c r="AG867" s="1515"/>
      <c r="AH867" s="1516"/>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75">
        <f>O782+O762+G739</f>
        <v>228</v>
      </c>
      <c r="AD868" s="1675"/>
      <c r="AE868" s="1675"/>
      <c r="AF868" s="1675"/>
      <c r="AG868" s="1675"/>
      <c r="AH868" s="1676"/>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 customHeight="1">
      <c r="C869" s="41"/>
      <c r="D869" s="42"/>
      <c r="E869" s="1673" t="s">
        <v>32</v>
      </c>
      <c r="F869" s="1673"/>
      <c r="G869" s="1673"/>
      <c r="H869" s="1673"/>
      <c r="I869" s="1673"/>
      <c r="J869" s="1673"/>
      <c r="K869" s="1673"/>
      <c r="L869" s="1673"/>
      <c r="M869" s="1673"/>
      <c r="N869" s="1673"/>
      <c r="O869" s="1673"/>
      <c r="P869" s="1673"/>
      <c r="Q869" s="1673"/>
      <c r="R869" s="1673"/>
      <c r="S869" s="1673"/>
      <c r="T869" s="1673"/>
      <c r="U869" s="1673"/>
      <c r="V869" s="1673"/>
      <c r="W869" s="1673"/>
      <c r="X869" s="1673"/>
      <c r="Y869" s="1673"/>
      <c r="Z869" s="1673"/>
      <c r="AA869" s="1673"/>
      <c r="AB869" s="1674"/>
      <c r="AC869" s="1632">
        <f>IF(ISERROR((ROUNDDOWN(AC867/AC868,0))),0,(ROUNDDOWN(AC867/AC868,0)))</f>
        <v>4845</v>
      </c>
      <c r="AD869" s="1632"/>
      <c r="AE869" s="1632"/>
      <c r="AF869" s="1632"/>
      <c r="AG869" s="1632"/>
      <c r="AH869" s="1632"/>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614"/>
      <c r="AD870" s="1615"/>
      <c r="AE870" s="1615"/>
      <c r="AF870" s="1615"/>
      <c r="AG870" s="1615"/>
      <c r="AH870" s="1615"/>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1301</v>
      </c>
      <c r="AC871" s="1598">
        <v>54720</v>
      </c>
      <c r="AD871" s="1616"/>
      <c r="AE871" s="1616"/>
      <c r="AF871" s="1616"/>
      <c r="AG871" s="1616"/>
      <c r="AH871" s="1616"/>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597">
        <v>29400</v>
      </c>
      <c r="AD872" s="1597"/>
      <c r="AE872" s="1597"/>
      <c r="AF872" s="1597"/>
      <c r="AG872" s="1597"/>
      <c r="AH872" s="1598"/>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597">
        <v>68400</v>
      </c>
      <c r="AD873" s="1597"/>
      <c r="AE873" s="1597"/>
      <c r="AF873" s="1597"/>
      <c r="AG873" s="1597"/>
      <c r="AH873" s="1598"/>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1936</v>
      </c>
      <c r="AC874" s="1575"/>
      <c r="AD874" s="1576"/>
      <c r="AE874" s="1576"/>
      <c r="AF874" s="1576"/>
      <c r="AG874" s="1576"/>
      <c r="AH874" s="1577"/>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597"/>
      <c r="AD875" s="1597"/>
      <c r="AE875" s="1597"/>
      <c r="AF875" s="1597"/>
      <c r="AG875" s="1597"/>
      <c r="AH875" s="1598"/>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1836</v>
      </c>
      <c r="AC876" s="1597"/>
      <c r="AD876" s="1597"/>
      <c r="AE876" s="1597"/>
      <c r="AF876" s="1597"/>
      <c r="AG876" s="1597"/>
      <c r="AH876" s="1598"/>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 customHeight="1">
      <c r="C877" s="1617" t="s">
        <v>996</v>
      </c>
      <c r="D877" s="1618"/>
      <c r="E877" s="1618"/>
      <c r="F877" s="1618"/>
      <c r="G877" s="1618"/>
      <c r="H877" s="1618"/>
      <c r="I877" s="1618"/>
      <c r="J877" s="1618"/>
      <c r="K877" s="1618"/>
      <c r="L877" s="1618"/>
      <c r="M877" s="1618"/>
      <c r="N877" s="1618"/>
      <c r="O877" s="1618"/>
      <c r="P877" s="1618"/>
      <c r="Q877" s="1618"/>
      <c r="R877" s="1618"/>
      <c r="S877" s="1618"/>
      <c r="T877" s="1618"/>
      <c r="U877" s="1618"/>
      <c r="V877" s="1618"/>
      <c r="W877" s="1618"/>
      <c r="X877" s="1618"/>
      <c r="Y877" s="1618"/>
      <c r="Z877" s="1618"/>
      <c r="AA877" s="1618"/>
      <c r="AB877" s="1619"/>
      <c r="AC877" s="1616"/>
      <c r="AD877" s="1616"/>
      <c r="AE877" s="1616"/>
      <c r="AF877" s="1616"/>
      <c r="AG877" s="1616"/>
      <c r="AH877" s="1616"/>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 customHeight="1">
      <c r="C878" s="1617" t="s">
        <v>996</v>
      </c>
      <c r="D878" s="1618"/>
      <c r="E878" s="1618"/>
      <c r="F878" s="1618"/>
      <c r="G878" s="1618"/>
      <c r="H878" s="1618"/>
      <c r="I878" s="1618"/>
      <c r="J878" s="1618"/>
      <c r="K878" s="1618"/>
      <c r="L878" s="1618"/>
      <c r="M878" s="1618"/>
      <c r="N878" s="1618"/>
      <c r="O878" s="1618"/>
      <c r="P878" s="1618"/>
      <c r="Q878" s="1618"/>
      <c r="R878" s="1618"/>
      <c r="S878" s="1618"/>
      <c r="T878" s="1618"/>
      <c r="U878" s="1618"/>
      <c r="V878" s="1618"/>
      <c r="W878" s="1618"/>
      <c r="X878" s="1618"/>
      <c r="Y878" s="1618"/>
      <c r="Z878" s="1618"/>
      <c r="AA878" s="1618"/>
      <c r="AB878" s="1619"/>
      <c r="AC878" s="1616"/>
      <c r="AD878" s="1616"/>
      <c r="AE878" s="1616"/>
      <c r="AF878" s="1616"/>
      <c r="AG878" s="1616"/>
      <c r="AH878" s="1616"/>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 customHeight="1">
      <c r="B882" s="2"/>
      <c r="H882" s="121" t="s">
        <v>240</v>
      </c>
      <c r="I882" s="5"/>
      <c r="J882" s="5"/>
      <c r="K882" s="5"/>
      <c r="L882" s="5"/>
      <c r="M882" s="5"/>
      <c r="N882" s="5"/>
      <c r="O882" s="5"/>
      <c r="P882" s="5"/>
      <c r="Q882" s="5"/>
      <c r="R882" s="5"/>
      <c r="S882" s="5"/>
      <c r="T882" s="5"/>
      <c r="U882" s="5"/>
      <c r="V882" s="5"/>
      <c r="W882" s="5"/>
      <c r="X882" s="5"/>
      <c r="Y882" s="46"/>
      <c r="Z882" s="1596"/>
      <c r="AA882" s="1597"/>
      <c r="AB882" s="1597"/>
      <c r="AC882" s="1597"/>
      <c r="AD882" s="1597"/>
      <c r="AE882" s="1598"/>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 customHeight="1">
      <c r="H883" s="121" t="s">
        <v>241</v>
      </c>
      <c r="I883" s="5"/>
      <c r="J883" s="5"/>
      <c r="K883" s="5"/>
      <c r="L883" s="5"/>
      <c r="M883" s="5"/>
      <c r="N883" s="5"/>
      <c r="O883" s="5"/>
      <c r="P883" s="5"/>
      <c r="Q883" s="5"/>
      <c r="R883" s="5"/>
      <c r="S883" s="5"/>
      <c r="T883" s="5"/>
      <c r="U883" s="5"/>
      <c r="V883" s="5"/>
      <c r="W883" s="5"/>
      <c r="X883" s="5"/>
      <c r="Y883" s="5"/>
      <c r="Z883" s="1596"/>
      <c r="AA883" s="1597"/>
      <c r="AB883" s="1597"/>
      <c r="AC883" s="1597"/>
      <c r="AD883" s="1597"/>
      <c r="AE883" s="1598"/>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 customHeight="1">
      <c r="H884" s="121" t="s">
        <v>242</v>
      </c>
      <c r="I884" s="5"/>
      <c r="J884" s="5"/>
      <c r="K884" s="5"/>
      <c r="L884" s="5"/>
      <c r="M884" s="5"/>
      <c r="N884" s="5"/>
      <c r="O884" s="5"/>
      <c r="P884" s="5"/>
      <c r="Q884" s="5"/>
      <c r="R884" s="5"/>
      <c r="S884" s="5"/>
      <c r="T884" s="5"/>
      <c r="U884" s="5"/>
      <c r="V884" s="5"/>
      <c r="W884" s="5"/>
      <c r="X884" s="5"/>
      <c r="Y884" s="5"/>
      <c r="Z884" s="1596"/>
      <c r="AA884" s="1597"/>
      <c r="AB884" s="1597"/>
      <c r="AC884" s="1597"/>
      <c r="AD884" s="1597"/>
      <c r="AE884" s="1598"/>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 customHeight="1">
      <c r="H885" s="45"/>
      <c r="I885" s="5"/>
      <c r="J885" s="5"/>
      <c r="K885" s="5"/>
      <c r="L885" s="5"/>
      <c r="M885" s="5"/>
      <c r="N885" s="5"/>
      <c r="O885" s="5"/>
      <c r="P885" s="5"/>
      <c r="Q885" s="5"/>
      <c r="R885" s="5"/>
      <c r="S885" s="5"/>
      <c r="T885" s="5"/>
      <c r="U885" s="5"/>
      <c r="V885" s="5"/>
      <c r="W885" s="5"/>
      <c r="X885" s="5"/>
      <c r="Y885" s="190" t="s">
        <v>243</v>
      </c>
      <c r="Z885" s="1514">
        <f>Z882-(Z883+Z884)</f>
        <v>0</v>
      </c>
      <c r="AA885" s="1515"/>
      <c r="AB885" s="1515"/>
      <c r="AC885" s="1515"/>
      <c r="AD885" s="1515"/>
      <c r="AE885" s="1516"/>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10"/>
      <c r="BE887" s="1610"/>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10"/>
      <c r="BE888" s="1610"/>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11"/>
      <c r="BE889" s="1611"/>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 customHeight="1">
      <c r="C890" s="369" t="s">
        <v>1070</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11"/>
      <c r="BE890" s="1611"/>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11"/>
      <c r="BE891" s="1611"/>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 customHeight="1">
      <c r="AZ892" s="34"/>
      <c r="BB892" s="30"/>
      <c r="BC892" s="852"/>
      <c r="BD892" s="1610"/>
      <c r="BE892" s="1611"/>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 customHeight="1">
      <c r="A893" s="1440" t="s">
        <v>97</v>
      </c>
      <c r="B893" s="1440"/>
      <c r="C893" s="1440"/>
      <c r="D893" s="1440"/>
      <c r="E893" s="1440"/>
      <c r="F893" s="1440"/>
      <c r="G893" s="1440"/>
      <c r="H893" s="1440"/>
      <c r="I893" s="1440"/>
      <c r="J893" s="1440"/>
      <c r="K893" s="1440"/>
      <c r="L893" s="1440"/>
      <c r="M893" s="1440"/>
      <c r="N893" s="1440"/>
      <c r="O893" s="1440"/>
      <c r="P893" s="1440"/>
      <c r="Q893" s="1440"/>
      <c r="R893" s="1440"/>
      <c r="S893" s="1440"/>
      <c r="T893" s="1440"/>
      <c r="U893" s="1440"/>
      <c r="V893" s="1440"/>
      <c r="W893" s="1440"/>
      <c r="X893" s="1440"/>
      <c r="Y893" s="1440"/>
      <c r="Z893" s="1440"/>
      <c r="AA893" s="1440"/>
      <c r="AB893" s="1440"/>
      <c r="AC893" s="1440"/>
      <c r="AD893" s="1440"/>
      <c r="AE893" s="1440"/>
      <c r="AF893" s="1440"/>
      <c r="AG893" s="1440"/>
      <c r="AH893" s="1440"/>
      <c r="AI893" s="1440"/>
      <c r="AJ893" s="1440"/>
      <c r="AK893" s="1440"/>
      <c r="AL893" s="1440"/>
      <c r="AM893" s="95"/>
      <c r="AN893" s="95"/>
      <c r="AO893" s="95"/>
      <c r="AP893" s="95"/>
      <c r="AQ893" s="95"/>
      <c r="AR893" s="95"/>
      <c r="AS893" s="95"/>
      <c r="AT893" s="95"/>
      <c r="AU893" s="95"/>
      <c r="AV893" s="95"/>
      <c r="AW893" s="95"/>
      <c r="AX893" s="95"/>
      <c r="AY893" s="95"/>
      <c r="AZ893" s="34"/>
      <c r="BB893" s="30"/>
      <c r="BC893" s="852"/>
      <c r="BD893" s="1609"/>
      <c r="BE893" s="1609"/>
      <c r="BF893" s="1609"/>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 customHeight="1" thickBot="1">
      <c r="A894" s="1441"/>
      <c r="B894" s="1441"/>
      <c r="C894" s="1441"/>
      <c r="D894" s="1441"/>
      <c r="E894" s="1441"/>
      <c r="F894" s="1441"/>
      <c r="G894" s="1441"/>
      <c r="H894" s="1441"/>
      <c r="I894" s="1441"/>
      <c r="J894" s="1441"/>
      <c r="K894" s="1441"/>
      <c r="L894" s="1441"/>
      <c r="M894" s="1441"/>
      <c r="N894" s="1441"/>
      <c r="O894" s="1441"/>
      <c r="P894" s="1441"/>
      <c r="Q894" s="1441"/>
      <c r="R894" s="1441"/>
      <c r="S894" s="1441"/>
      <c r="T894" s="1441"/>
      <c r="U894" s="1441"/>
      <c r="V894" s="1441"/>
      <c r="W894" s="1441"/>
      <c r="X894" s="1441"/>
      <c r="Y894" s="1441"/>
      <c r="Z894" s="1441"/>
      <c r="AA894" s="1441"/>
      <c r="AB894" s="1441"/>
      <c r="AC894" s="1441"/>
      <c r="AD894" s="1441"/>
      <c r="AE894" s="1441"/>
      <c r="AF894" s="1441"/>
      <c r="AG894" s="1441"/>
      <c r="AH894" s="1441"/>
      <c r="AI894" s="1441"/>
      <c r="AJ894" s="1441"/>
      <c r="AK894" s="1441"/>
      <c r="AL894" s="1441"/>
      <c r="AM894" s="95"/>
      <c r="AN894" s="95"/>
      <c r="AO894" s="95"/>
      <c r="AP894" s="95"/>
      <c r="AQ894" s="95"/>
      <c r="AR894" s="95"/>
      <c r="AS894" s="95"/>
      <c r="AT894" s="95"/>
      <c r="AU894" s="95"/>
      <c r="AV894" s="95"/>
      <c r="AW894" s="95"/>
      <c r="AX894" s="95"/>
      <c r="AY894" s="95"/>
      <c r="AZ894" s="34"/>
      <c r="BB894" s="30"/>
      <c r="BC894" s="852"/>
      <c r="BD894" s="1631"/>
      <c r="BE894" s="1631"/>
      <c r="BF894" s="1631"/>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11"/>
      <c r="BE895" s="1611"/>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10"/>
      <c r="BE896" s="1611"/>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 customHeight="1">
      <c r="F898" s="1805" t="s">
        <v>817</v>
      </c>
      <c r="G898" s="1806"/>
      <c r="H898" s="1806"/>
      <c r="I898" s="1806"/>
      <c r="J898" s="1806"/>
      <c r="K898" s="1806"/>
      <c r="L898" s="1806"/>
      <c r="M898" s="1806"/>
      <c r="N898" s="1806"/>
      <c r="O898" s="1806"/>
      <c r="P898" s="1806"/>
      <c r="Q898" s="1806"/>
      <c r="R898" s="1806"/>
      <c r="S898" s="1806"/>
      <c r="T898" s="1807"/>
      <c r="U898" s="1801" t="s">
        <v>31</v>
      </c>
      <c r="V898" s="1579"/>
      <c r="W898" s="1579"/>
      <c r="X898" s="1579"/>
      <c r="Y898" s="1579"/>
      <c r="Z898" s="1579"/>
      <c r="AA898" s="43"/>
      <c r="AB898" s="105"/>
      <c r="AC898" s="105"/>
      <c r="AD898" s="105"/>
      <c r="AE898" s="105"/>
      <c r="AF898" s="106"/>
      <c r="AZ898" s="34"/>
      <c r="BA898" s="34"/>
      <c r="BB898" s="30"/>
      <c r="BC898" s="30"/>
      <c r="BD898" s="1610"/>
      <c r="BE898" s="1611"/>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 customHeight="1">
      <c r="B899" s="2"/>
      <c r="F899" s="1653" t="s">
        <v>845</v>
      </c>
      <c r="G899" s="1654"/>
      <c r="H899" s="1654"/>
      <c r="I899" s="1654"/>
      <c r="J899" s="1654"/>
      <c r="K899" s="1654"/>
      <c r="L899" s="1654"/>
      <c r="M899" s="1654"/>
      <c r="N899" s="1654"/>
      <c r="O899" s="1654"/>
      <c r="P899" s="1654"/>
      <c r="Q899" s="1654"/>
      <c r="R899" s="1654"/>
      <c r="S899" s="1654"/>
      <c r="T899" s="1655"/>
      <c r="U899" s="1653"/>
      <c r="V899" s="1654"/>
      <c r="W899" s="1654"/>
      <c r="X899" s="1654"/>
      <c r="Y899" s="1654"/>
      <c r="Z899" s="1654"/>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 customHeight="1">
      <c r="B900" s="2"/>
      <c r="F900" s="1656"/>
      <c r="G900" s="1581"/>
      <c r="H900" s="1581"/>
      <c r="I900" s="1581"/>
      <c r="J900" s="1581"/>
      <c r="K900" s="1581"/>
      <c r="L900" s="1581"/>
      <c r="M900" s="1581"/>
      <c r="N900" s="1581"/>
      <c r="O900" s="1581"/>
      <c r="P900" s="1581"/>
      <c r="Q900" s="1581"/>
      <c r="R900" s="1581"/>
      <c r="S900" s="1581"/>
      <c r="T900" s="1582"/>
      <c r="U900" s="1656"/>
      <c r="V900" s="1581"/>
      <c r="W900" s="1581"/>
      <c r="X900" s="1581"/>
      <c r="Y900" s="1581"/>
      <c r="Z900" s="1581"/>
      <c r="AA900" s="108"/>
      <c r="AB900" s="1450" t="s">
        <v>393</v>
      </c>
      <c r="AC900" s="1450"/>
      <c r="AD900" s="1450"/>
      <c r="AE900" s="1450"/>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 customHeight="1">
      <c r="B901" s="2"/>
      <c r="F901" s="45" t="s">
        <v>783</v>
      </c>
      <c r="G901" s="48"/>
      <c r="H901" s="48"/>
      <c r="I901" s="48"/>
      <c r="J901" s="48"/>
      <c r="K901" s="48"/>
      <c r="L901" s="48"/>
      <c r="M901" s="48"/>
      <c r="N901" s="48"/>
      <c r="O901" s="48"/>
      <c r="P901" s="48"/>
      <c r="Q901" s="48"/>
      <c r="R901" s="48"/>
      <c r="S901" s="48"/>
      <c r="T901" s="49"/>
      <c r="U901" s="1642" t="s">
        <v>601</v>
      </c>
      <c r="V901" s="1356"/>
      <c r="W901" s="1356"/>
      <c r="X901" s="1356"/>
      <c r="Y901" s="1356"/>
      <c r="Z901" s="1357"/>
      <c r="AA901" s="1638"/>
      <c r="AB901" s="1439"/>
      <c r="AC901" s="1439"/>
      <c r="AD901" s="1439"/>
      <c r="AE901" s="1439"/>
      <c r="AF901" s="1639"/>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 customHeight="1">
      <c r="B902" s="2"/>
      <c r="F902" s="66" t="s">
        <v>685</v>
      </c>
      <c r="G902" s="48"/>
      <c r="H902" s="48"/>
      <c r="I902" s="48"/>
      <c r="J902" s="48"/>
      <c r="K902" s="48"/>
      <c r="L902" s="48"/>
      <c r="M902" s="48"/>
      <c r="N902" s="48"/>
      <c r="O902" s="48"/>
      <c r="P902" s="48"/>
      <c r="Q902" s="48"/>
      <c r="R902" s="48"/>
      <c r="S902" s="48"/>
      <c r="T902" s="49"/>
      <c r="U902" s="1642" t="s">
        <v>601</v>
      </c>
      <c r="V902" s="1356"/>
      <c r="W902" s="1356"/>
      <c r="X902" s="1356"/>
      <c r="Y902" s="1356"/>
      <c r="Z902" s="1357"/>
      <c r="AA902" s="1638"/>
      <c r="AB902" s="1439"/>
      <c r="AC902" s="1439"/>
      <c r="AD902" s="1439"/>
      <c r="AE902" s="1439"/>
      <c r="AF902" s="1639"/>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 customHeight="1">
      <c r="F903" s="45" t="s">
        <v>826</v>
      </c>
      <c r="G903" s="5"/>
      <c r="H903" s="5"/>
      <c r="I903" s="5"/>
      <c r="J903" s="5"/>
      <c r="K903" s="5"/>
      <c r="L903" s="5"/>
      <c r="M903" s="5"/>
      <c r="N903" s="5"/>
      <c r="O903" s="5"/>
      <c r="P903" s="5"/>
      <c r="Q903" s="5"/>
      <c r="R903" s="5"/>
      <c r="S903" s="5"/>
      <c r="T903" s="46"/>
      <c r="U903" s="1642" t="s">
        <v>601</v>
      </c>
      <c r="V903" s="1356"/>
      <c r="W903" s="1356"/>
      <c r="X903" s="1356"/>
      <c r="Y903" s="1356"/>
      <c r="Z903" s="1357"/>
      <c r="AA903" s="1638"/>
      <c r="AB903" s="1439"/>
      <c r="AC903" s="1439"/>
      <c r="AD903" s="1439"/>
      <c r="AE903" s="1439"/>
      <c r="AF903" s="1639"/>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 customHeight="1">
      <c r="F904" s="45" t="s">
        <v>688</v>
      </c>
      <c r="G904" s="5"/>
      <c r="H904" s="5"/>
      <c r="I904" s="5"/>
      <c r="J904" s="5"/>
      <c r="K904" s="5"/>
      <c r="L904" s="5"/>
      <c r="M904" s="5"/>
      <c r="N904" s="5"/>
      <c r="O904" s="5"/>
      <c r="P904" s="5"/>
      <c r="Q904" s="5"/>
      <c r="R904" s="5"/>
      <c r="S904" s="5"/>
      <c r="T904" s="46"/>
      <c r="U904" s="1642" t="s">
        <v>601</v>
      </c>
      <c r="V904" s="1356"/>
      <c r="W904" s="1356"/>
      <c r="X904" s="1356"/>
      <c r="Y904" s="1356"/>
      <c r="Z904" s="1357"/>
      <c r="AA904" s="1638"/>
      <c r="AB904" s="1439"/>
      <c r="AC904" s="1439"/>
      <c r="AD904" s="1439"/>
      <c r="AE904" s="1439"/>
      <c r="AF904" s="1639"/>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 customHeight="1">
      <c r="F905" s="66" t="s">
        <v>811</v>
      </c>
      <c r="G905" s="5"/>
      <c r="H905" s="5"/>
      <c r="I905" s="5"/>
      <c r="J905" s="5"/>
      <c r="K905" s="5"/>
      <c r="L905" s="5"/>
      <c r="M905" s="5"/>
      <c r="N905" s="5"/>
      <c r="O905" s="5"/>
      <c r="P905" s="5"/>
      <c r="Q905" s="5"/>
      <c r="R905" s="5"/>
      <c r="S905" s="5"/>
      <c r="T905" s="46"/>
      <c r="U905" s="1642" t="s">
        <v>601</v>
      </c>
      <c r="V905" s="1356"/>
      <c r="W905" s="1356"/>
      <c r="X905" s="1356"/>
      <c r="Y905" s="1356"/>
      <c r="Z905" s="1357"/>
      <c r="AA905" s="1638"/>
      <c r="AB905" s="1439"/>
      <c r="AC905" s="1439"/>
      <c r="AD905" s="1439"/>
      <c r="AE905" s="1439"/>
      <c r="AF905" s="1639"/>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 customHeight="1">
      <c r="F906" s="66" t="s">
        <v>812</v>
      </c>
      <c r="G906" s="5"/>
      <c r="H906" s="5"/>
      <c r="I906" s="5"/>
      <c r="J906" s="5"/>
      <c r="K906" s="5"/>
      <c r="L906" s="5"/>
      <c r="M906" s="5"/>
      <c r="N906" s="5"/>
      <c r="O906" s="5"/>
      <c r="P906" s="5"/>
      <c r="Q906" s="5"/>
      <c r="R906" s="5"/>
      <c r="S906" s="5"/>
      <c r="T906" s="46"/>
      <c r="U906" s="1642" t="s">
        <v>601</v>
      </c>
      <c r="V906" s="1356"/>
      <c r="W906" s="1356"/>
      <c r="X906" s="1356"/>
      <c r="Y906" s="1356"/>
      <c r="Z906" s="1357"/>
      <c r="AA906" s="1638"/>
      <c r="AB906" s="1439"/>
      <c r="AC906" s="1439"/>
      <c r="AD906" s="1439"/>
      <c r="AE906" s="1439"/>
      <c r="AF906" s="1639"/>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 customHeight="1">
      <c r="F907" s="66" t="s">
        <v>813</v>
      </c>
      <c r="G907" s="5"/>
      <c r="H907" s="5"/>
      <c r="I907" s="5"/>
      <c r="J907" s="5"/>
      <c r="K907" s="5"/>
      <c r="L907" s="5"/>
      <c r="M907" s="5"/>
      <c r="N907" s="5"/>
      <c r="O907" s="5"/>
      <c r="P907" s="5"/>
      <c r="Q907" s="5"/>
      <c r="R907" s="5"/>
      <c r="S907" s="5"/>
      <c r="T907" s="46"/>
      <c r="U907" s="1642" t="s">
        <v>601</v>
      </c>
      <c r="V907" s="1356"/>
      <c r="W907" s="1356"/>
      <c r="X907" s="1356"/>
      <c r="Y907" s="1356"/>
      <c r="Z907" s="1357"/>
      <c r="AA907" s="1638"/>
      <c r="AB907" s="1439"/>
      <c r="AC907" s="1439"/>
      <c r="AD907" s="1439"/>
      <c r="AE907" s="1439"/>
      <c r="AF907" s="1639"/>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 customHeight="1">
      <c r="F908" s="45" t="s">
        <v>687</v>
      </c>
      <c r="G908" s="5"/>
      <c r="H908" s="5"/>
      <c r="I908" s="5"/>
      <c r="J908" s="5"/>
      <c r="K908" s="5"/>
      <c r="L908" s="5"/>
      <c r="M908" s="5"/>
      <c r="N908" s="5"/>
      <c r="O908" s="5"/>
      <c r="P908" s="5"/>
      <c r="Q908" s="5"/>
      <c r="R908" s="5"/>
      <c r="S908" s="5"/>
      <c r="T908" s="46"/>
      <c r="U908" s="1642" t="s">
        <v>601</v>
      </c>
      <c r="V908" s="1356"/>
      <c r="W908" s="1356"/>
      <c r="X908" s="1356"/>
      <c r="Y908" s="1356"/>
      <c r="Z908" s="1357"/>
      <c r="AA908" s="1638"/>
      <c r="AB908" s="1439"/>
      <c r="AC908" s="1439"/>
      <c r="AD908" s="1439"/>
      <c r="AE908" s="1439"/>
      <c r="AF908" s="1639"/>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 customHeight="1">
      <c r="F909" s="66" t="s">
        <v>689</v>
      </c>
      <c r="G909" s="5"/>
      <c r="H909" s="5"/>
      <c r="I909" s="5"/>
      <c r="J909" s="5"/>
      <c r="K909" s="5"/>
      <c r="L909" s="5"/>
      <c r="M909" s="5"/>
      <c r="N909" s="5"/>
      <c r="O909" s="5"/>
      <c r="P909" s="5"/>
      <c r="Q909" s="5"/>
      <c r="R909" s="5"/>
      <c r="S909" s="5"/>
      <c r="T909" s="46"/>
      <c r="U909" s="1642" t="s">
        <v>601</v>
      </c>
      <c r="V909" s="1356"/>
      <c r="W909" s="1356"/>
      <c r="X909" s="1356"/>
      <c r="Y909" s="1356"/>
      <c r="Z909" s="1357"/>
      <c r="AA909" s="1638"/>
      <c r="AB909" s="1439"/>
      <c r="AC909" s="1439"/>
      <c r="AD909" s="1439"/>
      <c r="AE909" s="1439"/>
      <c r="AF909" s="1639"/>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 customHeight="1">
      <c r="F910" s="187" t="s">
        <v>686</v>
      </c>
      <c r="G910" s="5"/>
      <c r="H910" s="5"/>
      <c r="I910" s="5"/>
      <c r="J910" s="5"/>
      <c r="K910" s="5"/>
      <c r="L910" s="5"/>
      <c r="M910" s="5"/>
      <c r="N910" s="5"/>
      <c r="O910" s="5"/>
      <c r="P910" s="5"/>
      <c r="Q910" s="5"/>
      <c r="R910" s="5"/>
      <c r="S910" s="5"/>
      <c r="T910" s="46"/>
      <c r="U910" s="1642" t="s">
        <v>601</v>
      </c>
      <c r="V910" s="1356"/>
      <c r="W910" s="1356"/>
      <c r="X910" s="1356"/>
      <c r="Y910" s="1356"/>
      <c r="Z910" s="1357"/>
      <c r="AA910" s="1638"/>
      <c r="AB910" s="1439"/>
      <c r="AC910" s="1439"/>
      <c r="AD910" s="1439"/>
      <c r="AE910" s="1439"/>
      <c r="AF910" s="163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 customHeight="1">
      <c r="F911" s="121" t="s">
        <v>1434</v>
      </c>
      <c r="G911" s="5"/>
      <c r="H911" s="5"/>
      <c r="I911" s="5"/>
      <c r="J911" s="5"/>
      <c r="K911" s="5"/>
      <c r="L911" s="5"/>
      <c r="M911" s="5"/>
      <c r="N911" s="5"/>
      <c r="O911" s="5"/>
      <c r="P911" s="5"/>
      <c r="Q911" s="5"/>
      <c r="R911" s="5"/>
      <c r="S911" s="5"/>
      <c r="T911" s="46"/>
      <c r="U911" s="1642" t="s">
        <v>601</v>
      </c>
      <c r="V911" s="1356"/>
      <c r="W911" s="1356"/>
      <c r="X911" s="1356"/>
      <c r="Y911" s="1356"/>
      <c r="Z911" s="1357"/>
      <c r="AA911" s="1638"/>
      <c r="AB911" s="1439"/>
      <c r="AC911" s="1439"/>
      <c r="AD911" s="1439"/>
      <c r="AE911" s="1439"/>
      <c r="AF911" s="1639"/>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 customHeight="1">
      <c r="F912" s="66" t="s">
        <v>827</v>
      </c>
      <c r="G912" s="5"/>
      <c r="H912" s="5"/>
      <c r="I912" s="5"/>
      <c r="J912" s="5"/>
      <c r="K912" s="5"/>
      <c r="L912" s="5"/>
      <c r="M912" s="5"/>
      <c r="N912" s="5"/>
      <c r="O912" s="5"/>
      <c r="P912" s="5"/>
      <c r="Q912" s="5"/>
      <c r="R912" s="5"/>
      <c r="S912" s="5"/>
      <c r="T912" s="46"/>
      <c r="U912" s="1642" t="s">
        <v>601</v>
      </c>
      <c r="V912" s="1356"/>
      <c r="W912" s="1356"/>
      <c r="X912" s="1356"/>
      <c r="Y912" s="1356"/>
      <c r="Z912" s="1357"/>
      <c r="AA912" s="1638"/>
      <c r="AB912" s="1439"/>
      <c r="AC912" s="1439"/>
      <c r="AD912" s="1439"/>
      <c r="AE912" s="1439"/>
      <c r="AF912" s="1639"/>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 customHeight="1">
      <c r="F913" s="66" t="s">
        <v>828</v>
      </c>
      <c r="G913" s="5"/>
      <c r="H913" s="5"/>
      <c r="I913" s="5"/>
      <c r="J913" s="5"/>
      <c r="K913" s="5"/>
      <c r="L913" s="5"/>
      <c r="M913" s="5"/>
      <c r="N913" s="5"/>
      <c r="O913" s="5"/>
      <c r="P913" s="5"/>
      <c r="Q913" s="5"/>
      <c r="R913" s="5"/>
      <c r="S913" s="5"/>
      <c r="T913" s="46"/>
      <c r="U913" s="1642" t="s">
        <v>601</v>
      </c>
      <c r="V913" s="1356"/>
      <c r="W913" s="1356"/>
      <c r="X913" s="1356"/>
      <c r="Y913" s="1356"/>
      <c r="Z913" s="1357"/>
      <c r="AA913" s="1638"/>
      <c r="AB913" s="1439"/>
      <c r="AC913" s="1439"/>
      <c r="AD913" s="1439"/>
      <c r="AE913" s="1439"/>
      <c r="AF913" s="1639"/>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 customHeight="1">
      <c r="F914" s="121" t="s">
        <v>1418</v>
      </c>
      <c r="G914" s="5"/>
      <c r="H914" s="5"/>
      <c r="I914" s="5"/>
      <c r="J914" s="5"/>
      <c r="K914" s="5"/>
      <c r="L914" s="5"/>
      <c r="M914" s="5"/>
      <c r="N914" s="5"/>
      <c r="O914" s="5"/>
      <c r="P914" s="5"/>
      <c r="Q914" s="5"/>
      <c r="R914" s="5"/>
      <c r="S914" s="5"/>
      <c r="T914" s="46"/>
      <c r="U914" s="1642" t="s">
        <v>601</v>
      </c>
      <c r="V914" s="1356"/>
      <c r="W914" s="1356"/>
      <c r="X914" s="1356"/>
      <c r="Y914" s="1356"/>
      <c r="Z914" s="1357"/>
      <c r="AA914" s="1638"/>
      <c r="AB914" s="1439"/>
      <c r="AC914" s="1439"/>
      <c r="AD914" s="1439"/>
      <c r="AE914" s="1439"/>
      <c r="AF914" s="1639"/>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 customHeight="1">
      <c r="F915" s="121" t="s">
        <v>1419</v>
      </c>
      <c r="G915" s="5"/>
      <c r="H915" s="5"/>
      <c r="I915" s="5"/>
      <c r="J915" s="5"/>
      <c r="K915" s="5"/>
      <c r="L915" s="5"/>
      <c r="M915" s="5"/>
      <c r="N915" s="5"/>
      <c r="O915" s="5"/>
      <c r="P915" s="5"/>
      <c r="Q915" s="5"/>
      <c r="R915" s="5"/>
      <c r="S915" s="5"/>
      <c r="T915" s="46"/>
      <c r="U915" s="1642" t="s">
        <v>601</v>
      </c>
      <c r="V915" s="1356"/>
      <c r="W915" s="1356"/>
      <c r="X915" s="1356"/>
      <c r="Y915" s="1356"/>
      <c r="Z915" s="1357"/>
      <c r="AA915" s="1638"/>
      <c r="AB915" s="1439"/>
      <c r="AC915" s="1439"/>
      <c r="AD915" s="1439"/>
      <c r="AE915" s="1439"/>
      <c r="AF915" s="1639"/>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 customHeight="1">
      <c r="F916" s="45" t="s">
        <v>832</v>
      </c>
      <c r="G916" s="5"/>
      <c r="H916" s="5"/>
      <c r="I916" s="5"/>
      <c r="J916" s="5"/>
      <c r="K916" s="5"/>
      <c r="L916" s="5"/>
      <c r="M916" s="5"/>
      <c r="N916" s="5"/>
      <c r="O916" s="5"/>
      <c r="P916" s="1642" t="s">
        <v>679</v>
      </c>
      <c r="Q916" s="1356"/>
      <c r="R916" s="1356"/>
      <c r="S916" s="1356"/>
      <c r="T916" s="1357"/>
      <c r="U916" s="1642" t="s">
        <v>601</v>
      </c>
      <c r="V916" s="1356"/>
      <c r="W916" s="1356"/>
      <c r="X916" s="1356"/>
      <c r="Y916" s="1356"/>
      <c r="Z916" s="1357"/>
      <c r="AA916" s="1638"/>
      <c r="AB916" s="1439"/>
      <c r="AC916" s="1439"/>
      <c r="AD916" s="1439"/>
      <c r="AE916" s="1439"/>
      <c r="AF916" s="1639"/>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 customHeight="1">
      <c r="F917" s="45" t="s">
        <v>87</v>
      </c>
      <c r="G917" s="48"/>
      <c r="H917" s="48"/>
      <c r="I917" s="1599" t="s">
        <v>336</v>
      </c>
      <c r="J917" s="1600"/>
      <c r="K917" s="1600"/>
      <c r="L917" s="1600"/>
      <c r="M917" s="1600"/>
      <c r="N917" s="1600"/>
      <c r="O917" s="1600"/>
      <c r="P917" s="1600"/>
      <c r="Q917" s="1600"/>
      <c r="R917" s="1600"/>
      <c r="S917" s="1600"/>
      <c r="T917" s="1601"/>
      <c r="U917" s="1642" t="s">
        <v>601</v>
      </c>
      <c r="V917" s="1356"/>
      <c r="W917" s="1356"/>
      <c r="X917" s="1356"/>
      <c r="Y917" s="1356"/>
      <c r="Z917" s="1357"/>
      <c r="AA917" s="1638"/>
      <c r="AB917" s="1439"/>
      <c r="AC917" s="1439"/>
      <c r="AD917" s="1439"/>
      <c r="AE917" s="1439"/>
      <c r="AF917" s="1639"/>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 customHeight="1">
      <c r="F918" s="45" t="s">
        <v>10</v>
      </c>
      <c r="G918" s="48"/>
      <c r="H918" s="48"/>
      <c r="I918" s="1650" t="s">
        <v>336</v>
      </c>
      <c r="J918" s="1651"/>
      <c r="K918" s="1651"/>
      <c r="L918" s="1651"/>
      <c r="M918" s="1651"/>
      <c r="N918" s="1651"/>
      <c r="O918" s="1651"/>
      <c r="P918" s="1651"/>
      <c r="Q918" s="1651"/>
      <c r="R918" s="1651"/>
      <c r="S918" s="1651"/>
      <c r="T918" s="1652"/>
      <c r="U918" s="1642" t="s">
        <v>601</v>
      </c>
      <c r="V918" s="1356"/>
      <c r="W918" s="1356"/>
      <c r="X918" s="1356"/>
      <c r="Y918" s="1356"/>
      <c r="Z918" s="1357"/>
      <c r="AA918" s="1638"/>
      <c r="AB918" s="1439"/>
      <c r="AC918" s="1439"/>
      <c r="AD918" s="1439"/>
      <c r="AE918" s="1439"/>
      <c r="AF918" s="1639"/>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 customHeight="1">
      <c r="F919" s="47" t="s">
        <v>171</v>
      </c>
      <c r="G919" s="48"/>
      <c r="H919" s="48"/>
      <c r="I919" s="1650" t="s">
        <v>336</v>
      </c>
      <c r="J919" s="1651"/>
      <c r="K919" s="1651"/>
      <c r="L919" s="1651"/>
      <c r="M919" s="1651"/>
      <c r="N919" s="1651"/>
      <c r="O919" s="1651"/>
      <c r="P919" s="1651"/>
      <c r="Q919" s="1651"/>
      <c r="R919" s="1651"/>
      <c r="S919" s="1651"/>
      <c r="T919" s="1652"/>
      <c r="U919" s="1642" t="s">
        <v>601</v>
      </c>
      <c r="V919" s="1356"/>
      <c r="W919" s="1356"/>
      <c r="X919" s="1356"/>
      <c r="Y919" s="1356"/>
      <c r="Z919" s="1357"/>
      <c r="AA919" s="1638"/>
      <c r="AB919" s="1439"/>
      <c r="AC919" s="1439"/>
      <c r="AD919" s="1439"/>
      <c r="AE919" s="1439"/>
      <c r="AF919" s="1639"/>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 customHeight="1">
      <c r="F920" s="47" t="s">
        <v>171</v>
      </c>
      <c r="G920" s="48"/>
      <c r="H920" s="48"/>
      <c r="I920" s="1650" t="s">
        <v>336</v>
      </c>
      <c r="J920" s="1651"/>
      <c r="K920" s="1651"/>
      <c r="L920" s="1651"/>
      <c r="M920" s="1651"/>
      <c r="N920" s="1651"/>
      <c r="O920" s="1651"/>
      <c r="P920" s="1651"/>
      <c r="Q920" s="1651"/>
      <c r="R920" s="1651"/>
      <c r="S920" s="1651"/>
      <c r="T920" s="1652"/>
      <c r="U920" s="1642" t="s">
        <v>601</v>
      </c>
      <c r="V920" s="1356"/>
      <c r="W920" s="1356"/>
      <c r="X920" s="1356"/>
      <c r="Y920" s="1356"/>
      <c r="Z920" s="1357"/>
      <c r="AA920" s="1638"/>
      <c r="AB920" s="1439"/>
      <c r="AC920" s="1439"/>
      <c r="AD920" s="1439"/>
      <c r="AE920" s="1439"/>
      <c r="AF920" s="1639"/>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 customHeight="1">
      <c r="C925" s="66" t="s">
        <v>11</v>
      </c>
      <c r="D925" s="5"/>
      <c r="E925" s="5"/>
      <c r="F925" s="5"/>
      <c r="G925" s="5"/>
      <c r="H925" s="5"/>
      <c r="I925" s="5"/>
      <c r="J925" s="5"/>
      <c r="K925" s="5"/>
      <c r="L925" s="46"/>
      <c r="M925" s="1649"/>
      <c r="N925" s="1585"/>
      <c r="O925" s="1585"/>
      <c r="P925" s="1585"/>
      <c r="Q925" s="1585"/>
      <c r="R925" s="1585"/>
      <c r="S925" s="1608"/>
      <c r="U925" s="66" t="s">
        <v>11</v>
      </c>
      <c r="V925" s="5"/>
      <c r="W925" s="5"/>
      <c r="X925" s="5"/>
      <c r="Y925" s="5"/>
      <c r="Z925" s="5"/>
      <c r="AA925" s="5"/>
      <c r="AB925" s="5"/>
      <c r="AC925" s="5"/>
      <c r="AD925" s="46"/>
      <c r="AE925" s="1649"/>
      <c r="AF925" s="1585"/>
      <c r="AG925" s="1585"/>
      <c r="AH925" s="1585"/>
      <c r="AI925" s="1585"/>
      <c r="AJ925" s="1585"/>
      <c r="AK925" s="160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 customHeight="1">
      <c r="C926" s="66" t="s">
        <v>12</v>
      </c>
      <c r="D926" s="5"/>
      <c r="E926" s="5"/>
      <c r="F926" s="5"/>
      <c r="G926" s="5"/>
      <c r="H926" s="5"/>
      <c r="I926" s="5"/>
      <c r="J926" s="5"/>
      <c r="K926" s="5"/>
      <c r="L926" s="46"/>
      <c r="M926" s="1640"/>
      <c r="N926" s="1512"/>
      <c r="O926" s="1512"/>
      <c r="P926" s="1512"/>
      <c r="Q926" s="1512"/>
      <c r="R926" s="1512"/>
      <c r="S926" s="1641"/>
      <c r="U926" s="66" t="s">
        <v>12</v>
      </c>
      <c r="V926" s="5"/>
      <c r="W926" s="5"/>
      <c r="X926" s="5"/>
      <c r="Y926" s="5"/>
      <c r="Z926" s="5"/>
      <c r="AA926" s="5"/>
      <c r="AB926" s="5"/>
      <c r="AC926" s="5"/>
      <c r="AD926" s="46"/>
      <c r="AE926" s="1640"/>
      <c r="AF926" s="1512"/>
      <c r="AG926" s="1512"/>
      <c r="AH926" s="1512"/>
      <c r="AI926" s="1512"/>
      <c r="AJ926" s="1512"/>
      <c r="AK926" s="1641"/>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 customHeight="1">
      <c r="C927" s="66" t="s">
        <v>909</v>
      </c>
      <c r="D927" s="5"/>
      <c r="E927" s="5"/>
      <c r="J927" s="1643" t="s">
        <v>309</v>
      </c>
      <c r="K927" s="1644"/>
      <c r="L927" s="1644"/>
      <c r="M927" s="1644"/>
      <c r="N927" s="1644"/>
      <c r="O927" s="1644"/>
      <c r="P927" s="1644"/>
      <c r="Q927" s="1644"/>
      <c r="R927" s="1644"/>
      <c r="S927" s="1645"/>
      <c r="U927" s="66" t="s">
        <v>909</v>
      </c>
      <c r="V927" s="5"/>
      <c r="W927" s="5"/>
      <c r="AB927" s="1643" t="s">
        <v>309</v>
      </c>
      <c r="AC927" s="1644"/>
      <c r="AD927" s="1644"/>
      <c r="AE927" s="1644"/>
      <c r="AF927" s="1644"/>
      <c r="AG927" s="1644"/>
      <c r="AH927" s="1644"/>
      <c r="AI927" s="1644"/>
      <c r="AJ927" s="1644"/>
      <c r="AK927" s="1645"/>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 customHeight="1">
      <c r="C928" s="66" t="s">
        <v>13</v>
      </c>
      <c r="D928" s="5"/>
      <c r="E928" s="5"/>
      <c r="F928" s="5"/>
      <c r="G928" s="5"/>
      <c r="H928" s="5"/>
      <c r="I928" s="5"/>
      <c r="J928" s="5"/>
      <c r="K928" s="5"/>
      <c r="L928" s="46"/>
      <c r="M928" s="1809"/>
      <c r="N928" s="1661"/>
      <c r="O928" s="1661"/>
      <c r="P928" s="1661"/>
      <c r="Q928" s="1661"/>
      <c r="R928" s="1661"/>
      <c r="S928" s="1662"/>
      <c r="U928" s="66" t="s">
        <v>13</v>
      </c>
      <c r="V928" s="5"/>
      <c r="W928" s="5"/>
      <c r="X928" s="5"/>
      <c r="Y928" s="5"/>
      <c r="Z928" s="5"/>
      <c r="AA928" s="5"/>
      <c r="AB928" s="5"/>
      <c r="AC928" s="5"/>
      <c r="AD928" s="46"/>
      <c r="AE928" s="1660"/>
      <c r="AF928" s="1661"/>
      <c r="AG928" s="1661"/>
      <c r="AH928" s="1661"/>
      <c r="AI928" s="1661"/>
      <c r="AJ928" s="1661"/>
      <c r="AK928" s="166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 customHeight="1">
      <c r="C929" s="66" t="s">
        <v>14</v>
      </c>
      <c r="D929" s="5"/>
      <c r="E929" s="5"/>
      <c r="F929" s="5"/>
      <c r="G929" s="5"/>
      <c r="H929" s="5"/>
      <c r="I929" s="5"/>
      <c r="J929" s="5"/>
      <c r="K929" s="5"/>
      <c r="L929" s="46"/>
      <c r="M929" s="1663"/>
      <c r="N929" s="1626"/>
      <c r="O929" s="1626"/>
      <c r="P929" s="1626"/>
      <c r="Q929" s="1626"/>
      <c r="R929" s="1626"/>
      <c r="S929" s="1627"/>
      <c r="U929" s="66" t="s">
        <v>14</v>
      </c>
      <c r="V929" s="5"/>
      <c r="W929" s="5"/>
      <c r="X929" s="5"/>
      <c r="Y929" s="5"/>
      <c r="Z929" s="5"/>
      <c r="AA929" s="5"/>
      <c r="AB929" s="5"/>
      <c r="AC929" s="5"/>
      <c r="AD929" s="46"/>
      <c r="AE929" s="1663"/>
      <c r="AF929" s="1626"/>
      <c r="AG929" s="1626"/>
      <c r="AH929" s="1626"/>
      <c r="AI929" s="1626"/>
      <c r="AJ929" s="1626"/>
      <c r="AK929" s="1627"/>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 customHeight="1">
      <c r="C930" s="66" t="s">
        <v>15</v>
      </c>
      <c r="D930" s="5"/>
      <c r="E930" s="5"/>
      <c r="F930" s="5"/>
      <c r="G930" s="5"/>
      <c r="H930" s="5"/>
      <c r="I930" s="5"/>
      <c r="J930" s="5"/>
      <c r="K930" s="5"/>
      <c r="L930" s="46"/>
      <c r="M930" s="1638"/>
      <c r="N930" s="1439"/>
      <c r="O930" s="1439"/>
      <c r="P930" s="1439"/>
      <c r="Q930" s="1439"/>
      <c r="R930" s="1439"/>
      <c r="S930" s="1639"/>
      <c r="U930" s="66" t="s">
        <v>15</v>
      </c>
      <c r="V930" s="5"/>
      <c r="W930" s="5"/>
      <c r="X930" s="5"/>
      <c r="Y930" s="5"/>
      <c r="Z930" s="5"/>
      <c r="AA930" s="5"/>
      <c r="AB930" s="5"/>
      <c r="AC930" s="5"/>
      <c r="AD930" s="46"/>
      <c r="AE930" s="1638"/>
      <c r="AF930" s="1439"/>
      <c r="AG930" s="1439"/>
      <c r="AH930" s="1439"/>
      <c r="AI930" s="1439"/>
      <c r="AJ930" s="1439"/>
      <c r="AK930" s="1639"/>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 customHeight="1">
      <c r="C931" s="66" t="s">
        <v>16</v>
      </c>
      <c r="D931" s="5"/>
      <c r="E931" s="5"/>
      <c r="F931" s="5"/>
      <c r="G931" s="5"/>
      <c r="H931" s="5"/>
      <c r="I931" s="5"/>
      <c r="J931" s="5"/>
      <c r="K931" s="5"/>
      <c r="L931" s="46"/>
      <c r="M931" s="1638"/>
      <c r="N931" s="1439"/>
      <c r="O931" s="1439"/>
      <c r="P931" s="1439"/>
      <c r="Q931" s="1439"/>
      <c r="R931" s="1439"/>
      <c r="S931" s="1639"/>
      <c r="U931" s="66" t="s">
        <v>16</v>
      </c>
      <c r="V931" s="5"/>
      <c r="W931" s="5"/>
      <c r="X931" s="5"/>
      <c r="Y931" s="5"/>
      <c r="Z931" s="5"/>
      <c r="AA931" s="5"/>
      <c r="AB931" s="5"/>
      <c r="AC931" s="5"/>
      <c r="AD931" s="46"/>
      <c r="AE931" s="1638"/>
      <c r="AF931" s="1439"/>
      <c r="AG931" s="1439"/>
      <c r="AH931" s="1439"/>
      <c r="AI931" s="1439"/>
      <c r="AJ931" s="1439"/>
      <c r="AK931" s="1639"/>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 customHeight="1">
      <c r="C932" s="121" t="s">
        <v>1841</v>
      </c>
      <c r="D932" s="5"/>
      <c r="E932" s="5"/>
      <c r="F932" s="5"/>
      <c r="G932" s="5"/>
      <c r="H932" s="5"/>
      <c r="I932" s="5"/>
      <c r="J932" s="5"/>
      <c r="K932" s="5"/>
      <c r="L932" s="46"/>
      <c r="M932" s="1657"/>
      <c r="N932" s="1658"/>
      <c r="O932" s="1658"/>
      <c r="P932" s="1658"/>
      <c r="Q932" s="1658"/>
      <c r="R932" s="1658"/>
      <c r="S932" s="1659"/>
      <c r="U932" s="121" t="s">
        <v>1841</v>
      </c>
      <c r="V932" s="5"/>
      <c r="W932" s="5"/>
      <c r="X932" s="5"/>
      <c r="Y932" s="5"/>
      <c r="Z932" s="5"/>
      <c r="AA932" s="5"/>
      <c r="AB932" s="5"/>
      <c r="AC932" s="5"/>
      <c r="AD932" s="46"/>
      <c r="AE932" s="1657"/>
      <c r="AF932" s="1658"/>
      <c r="AG932" s="1658"/>
      <c r="AH932" s="1658"/>
      <c r="AI932" s="1658"/>
      <c r="AJ932" s="1658"/>
      <c r="AK932" s="1659"/>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 customHeight="1">
      <c r="F937" s="45" t="s">
        <v>581</v>
      </c>
      <c r="G937" s="5"/>
      <c r="H937" s="5"/>
      <c r="I937" s="5"/>
      <c r="J937" s="5"/>
      <c r="K937" s="5"/>
      <c r="L937" s="46"/>
      <c r="M937" s="1628"/>
      <c r="N937" s="1629"/>
      <c r="O937" s="1629"/>
      <c r="P937" s="1629"/>
      <c r="Q937" s="1629"/>
      <c r="R937" s="1629"/>
      <c r="S937" s="1630"/>
      <c r="T937" s="66" t="s">
        <v>815</v>
      </c>
      <c r="U937" s="5"/>
      <c r="V937" s="5"/>
      <c r="W937" s="5"/>
      <c r="X937" s="5"/>
      <c r="Y937" s="5"/>
      <c r="Z937" s="46"/>
      <c r="AA937" s="1628"/>
      <c r="AB937" s="1629"/>
      <c r="AC937" s="1629"/>
      <c r="AD937" s="1629"/>
      <c r="AE937" s="1629"/>
      <c r="AF937" s="1629"/>
      <c r="AG937" s="1630"/>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 customHeight="1">
      <c r="F938" s="45" t="s">
        <v>582</v>
      </c>
      <c r="G938" s="5"/>
      <c r="H938" s="5"/>
      <c r="I938" s="5"/>
      <c r="J938" s="5"/>
      <c r="K938" s="5"/>
      <c r="L938" s="46"/>
      <c r="M938" s="1628"/>
      <c r="N938" s="1629"/>
      <c r="O938" s="1629"/>
      <c r="P938" s="1629"/>
      <c r="Q938" s="1629"/>
      <c r="R938" s="1629"/>
      <c r="S938" s="1630"/>
      <c r="T938" s="66" t="s">
        <v>814</v>
      </c>
      <c r="U938" s="5"/>
      <c r="V938" s="5"/>
      <c r="W938" s="5"/>
      <c r="X938" s="5"/>
      <c r="Y938" s="5"/>
      <c r="Z938" s="46"/>
      <c r="AA938" s="1628"/>
      <c r="AB938" s="1629"/>
      <c r="AC938" s="1629"/>
      <c r="AD938" s="1629"/>
      <c r="AE938" s="1629"/>
      <c r="AF938" s="1629"/>
      <c r="AG938" s="1630"/>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 customHeight="1">
      <c r="F939" s="45" t="s">
        <v>934</v>
      </c>
      <c r="G939" s="5"/>
      <c r="H939" s="5"/>
      <c r="I939" s="5"/>
      <c r="J939" s="5"/>
      <c r="K939" s="5"/>
      <c r="L939" s="46"/>
      <c r="M939" s="1680" t="s">
        <v>601</v>
      </c>
      <c r="N939" s="1681"/>
      <c r="O939" s="1681"/>
      <c r="P939" s="1681"/>
      <c r="Q939" s="1681"/>
      <c r="R939" s="1681"/>
      <c r="S939" s="1682"/>
      <c r="T939" s="45" t="s">
        <v>339</v>
      </c>
      <c r="U939" s="5"/>
      <c r="V939" s="5"/>
      <c r="W939" s="5"/>
      <c r="X939" s="5"/>
      <c r="Y939" s="5"/>
      <c r="Z939" s="46"/>
      <c r="AA939" s="1628"/>
      <c r="AB939" s="1629"/>
      <c r="AC939" s="1629"/>
      <c r="AD939" s="1629"/>
      <c r="AE939" s="1629"/>
      <c r="AF939" s="1629"/>
      <c r="AG939" s="1630"/>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 customHeight="1">
      <c r="F940" s="45" t="s">
        <v>583</v>
      </c>
      <c r="G940" s="5"/>
      <c r="H940" s="5"/>
      <c r="I940" s="5"/>
      <c r="J940" s="5"/>
      <c r="K940" s="5"/>
      <c r="L940" s="46"/>
      <c r="M940" s="1628"/>
      <c r="N940" s="1629"/>
      <c r="O940" s="1629"/>
      <c r="P940" s="1629"/>
      <c r="Q940" s="1629"/>
      <c r="R940" s="1629"/>
      <c r="S940" s="1630"/>
      <c r="T940" s="45" t="s">
        <v>340</v>
      </c>
      <c r="U940" s="5"/>
      <c r="V940" s="5"/>
      <c r="W940" s="5"/>
      <c r="X940" s="5"/>
      <c r="Y940" s="5"/>
      <c r="Z940" s="46"/>
      <c r="AA940" s="1628"/>
      <c r="AB940" s="1629"/>
      <c r="AC940" s="1629"/>
      <c r="AD940" s="1629"/>
      <c r="AE940" s="1629"/>
      <c r="AF940" s="1629"/>
      <c r="AG940" s="1630"/>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 customHeight="1">
      <c r="F941" s="45" t="s">
        <v>474</v>
      </c>
      <c r="G941" s="5"/>
      <c r="H941" s="5"/>
      <c r="I941" s="5"/>
      <c r="J941" s="5"/>
      <c r="K941" s="5"/>
      <c r="L941" s="46"/>
      <c r="M941" s="1628"/>
      <c r="N941" s="1629"/>
      <c r="O941" s="1629"/>
      <c r="P941" s="1629"/>
      <c r="Q941" s="1629"/>
      <c r="R941" s="1629"/>
      <c r="S941" s="1630"/>
      <c r="T941" s="45" t="s">
        <v>378</v>
      </c>
      <c r="U941" s="5"/>
      <c r="V941" s="5"/>
      <c r="W941" s="5"/>
      <c r="X941" s="5"/>
      <c r="Y941" s="5"/>
      <c r="Z941" s="46"/>
      <c r="AA941" s="1628"/>
      <c r="AB941" s="1629"/>
      <c r="AC941" s="1629"/>
      <c r="AD941" s="1629"/>
      <c r="AE941" s="1629"/>
      <c r="AF941" s="1629"/>
      <c r="AG941" s="1630"/>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 customHeight="1">
      <c r="F942" s="260" t="s">
        <v>909</v>
      </c>
      <c r="G942" s="42"/>
      <c r="H942" s="42"/>
      <c r="I942" s="42"/>
      <c r="J942" s="42"/>
      <c r="K942" s="42"/>
      <c r="L942" s="58"/>
      <c r="M942" s="1667" t="s">
        <v>309</v>
      </c>
      <c r="N942" s="1668"/>
      <c r="O942" s="1668"/>
      <c r="P942" s="1668"/>
      <c r="Q942" s="1668"/>
      <c r="R942" s="1668"/>
      <c r="S942" s="1669"/>
      <c r="T942" s="1646"/>
      <c r="U942" s="1647"/>
      <c r="V942" s="1647"/>
      <c r="W942" s="1647"/>
      <c r="X942" s="1647"/>
      <c r="Y942" s="1647"/>
      <c r="Z942" s="1648"/>
      <c r="AA942" s="1628"/>
      <c r="AB942" s="1629"/>
      <c r="AC942" s="1629"/>
      <c r="AD942" s="1629"/>
      <c r="AE942" s="1629"/>
      <c r="AF942" s="1629"/>
      <c r="AG942" s="1630"/>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 customHeight="1">
      <c r="F943" s="41" t="s">
        <v>475</v>
      </c>
      <c r="G943" s="42"/>
      <c r="H943" s="42"/>
      <c r="I943" s="42"/>
      <c r="J943" s="42"/>
      <c r="K943" s="42"/>
      <c r="L943" s="58"/>
      <c r="M943" s="1628"/>
      <c r="N943" s="1629"/>
      <c r="O943" s="1629"/>
      <c r="P943" s="1629"/>
      <c r="Q943" s="1629"/>
      <c r="R943" s="1629"/>
      <c r="S943" s="1630"/>
      <c r="T943" s="1646"/>
      <c r="U943" s="1647"/>
      <c r="V943" s="1647"/>
      <c r="W943" s="1647"/>
      <c r="X943" s="1647"/>
      <c r="Y943" s="1647"/>
      <c r="Z943" s="1648"/>
      <c r="AA943" s="1628"/>
      <c r="AB943" s="1629"/>
      <c r="AC943" s="1629"/>
      <c r="AD943" s="1629"/>
      <c r="AE943" s="1629"/>
      <c r="AF943" s="1629"/>
      <c r="AG943" s="1630"/>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 customHeight="1">
      <c r="F944" s="41" t="s">
        <v>338</v>
      </c>
      <c r="G944" s="42"/>
      <c r="H944" s="42"/>
      <c r="I944" s="42"/>
      <c r="J944" s="42"/>
      <c r="K944" s="42"/>
      <c r="L944" s="42"/>
      <c r="M944" s="42"/>
      <c r="N944" s="42"/>
      <c r="O944" s="1366" t="s">
        <v>679</v>
      </c>
      <c r="P944" s="1368"/>
      <c r="Q944" s="92"/>
      <c r="R944" s="92"/>
      <c r="S944" s="93"/>
      <c r="T944" s="41" t="s">
        <v>171</v>
      </c>
      <c r="U944" s="42"/>
      <c r="V944" s="42"/>
      <c r="W944" s="1664" t="s">
        <v>336</v>
      </c>
      <c r="X944" s="1665"/>
      <c r="Y944" s="1665"/>
      <c r="Z944" s="1665"/>
      <c r="AA944" s="1665"/>
      <c r="AB944" s="1665"/>
      <c r="AC944" s="1665"/>
      <c r="AD944" s="1665"/>
      <c r="AE944" s="1665"/>
      <c r="AF944" s="1665"/>
      <c r="AG944" s="1666"/>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 customHeight="1">
      <c r="F945" s="1583" t="s">
        <v>33</v>
      </c>
      <c r="G945" s="1511"/>
      <c r="H945" s="1511"/>
      <c r="I945" s="1511"/>
      <c r="J945" s="1511"/>
      <c r="K945" s="1511"/>
      <c r="L945" s="1511"/>
      <c r="M945" s="1628"/>
      <c r="N945" s="1629"/>
      <c r="O945" s="1629"/>
      <c r="P945" s="1629"/>
      <c r="Q945" s="1629"/>
      <c r="R945" s="1629"/>
      <c r="S945" s="1630"/>
      <c r="T945" s="47"/>
      <c r="U945" s="48"/>
      <c r="V945" s="48"/>
      <c r="W945" s="48"/>
      <c r="X945" s="48"/>
      <c r="Y945" s="48"/>
      <c r="Z945" s="124" t="s">
        <v>135</v>
      </c>
      <c r="AA945" s="1802"/>
      <c r="AB945" s="1803"/>
      <c r="AC945" s="1803"/>
      <c r="AD945" s="1803"/>
      <c r="AE945" s="1803"/>
      <c r="AF945" s="1803"/>
      <c r="AG945" s="1804"/>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 customHeight="1">
      <c r="A949" s="1808" t="s">
        <v>558</v>
      </c>
      <c r="B949" s="1808"/>
      <c r="C949" s="1808"/>
      <c r="D949" s="1808"/>
      <c r="E949" s="1808"/>
      <c r="F949" s="1808"/>
      <c r="G949" s="1808"/>
      <c r="H949" s="1808"/>
      <c r="I949" s="1808"/>
      <c r="J949" s="1808"/>
      <c r="K949" s="1808"/>
      <c r="L949" s="1808"/>
      <c r="M949" s="1808"/>
      <c r="N949" s="1808"/>
      <c r="O949" s="1808"/>
      <c r="P949" s="1808"/>
      <c r="Q949" s="1808"/>
      <c r="R949" s="1808"/>
      <c r="S949" s="1808"/>
      <c r="T949" s="1808"/>
      <c r="U949" s="1808"/>
      <c r="V949" s="1808"/>
      <c r="W949" s="1808"/>
      <c r="X949" s="1808"/>
      <c r="Y949" s="1808"/>
      <c r="Z949" s="1808"/>
      <c r="AA949" s="1808"/>
      <c r="AB949" s="1808"/>
      <c r="AC949" s="1808"/>
      <c r="AD949" s="1808"/>
      <c r="AE949" s="1808"/>
      <c r="AF949" s="1808"/>
      <c r="AG949" s="1808"/>
      <c r="AH949" s="1808"/>
      <c r="AI949" s="1808"/>
      <c r="AJ949" s="1808"/>
      <c r="AK949" s="1808"/>
      <c r="AL949" s="1808"/>
      <c r="AM949" s="1808"/>
      <c r="AN949" s="1808"/>
      <c r="AO949" s="1808"/>
      <c r="AP949" s="1808"/>
      <c r="AQ949" s="1808"/>
      <c r="AR949" s="1808"/>
      <c r="AS949" s="1808"/>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 customHeight="1">
      <c r="A950" s="1808"/>
      <c r="B950" s="1808"/>
      <c r="C950" s="1808"/>
      <c r="D950" s="1808"/>
      <c r="E950" s="1808"/>
      <c r="F950" s="1808"/>
      <c r="G950" s="1808"/>
      <c r="H950" s="1808"/>
      <c r="I950" s="1808"/>
      <c r="J950" s="1808"/>
      <c r="K950" s="1808"/>
      <c r="L950" s="1808"/>
      <c r="M950" s="1808"/>
      <c r="N950" s="1808"/>
      <c r="O950" s="1808"/>
      <c r="P950" s="1808"/>
      <c r="Q950" s="1808"/>
      <c r="R950" s="1808"/>
      <c r="S950" s="1808"/>
      <c r="T950" s="1808"/>
      <c r="U950" s="1808"/>
      <c r="V950" s="1808"/>
      <c r="W950" s="1808"/>
      <c r="X950" s="1808"/>
      <c r="Y950" s="1808"/>
      <c r="Z950" s="1808"/>
      <c r="AA950" s="1808"/>
      <c r="AB950" s="1808"/>
      <c r="AC950" s="1808"/>
      <c r="AD950" s="1808"/>
      <c r="AE950" s="1808"/>
      <c r="AF950" s="1808"/>
      <c r="AG950" s="1808"/>
      <c r="AH950" s="1808"/>
      <c r="AI950" s="1808"/>
      <c r="AJ950" s="1808"/>
      <c r="AK950" s="1808"/>
      <c r="AL950" s="1808"/>
      <c r="AM950" s="1808"/>
      <c r="AN950" s="1808"/>
      <c r="AO950" s="1808"/>
      <c r="AP950" s="1808"/>
      <c r="AQ950" s="1808"/>
      <c r="AR950" s="1808"/>
      <c r="AS950" s="1808"/>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 customHeight="1">
      <c r="D951"/>
      <c r="E951"/>
      <c r="F951"/>
      <c r="G951"/>
      <c r="H951"/>
      <c r="AL951" s="68"/>
      <c r="AM951" s="68"/>
      <c r="AN951" s="68"/>
      <c r="AO951" s="68"/>
      <c r="AP951" s="68"/>
      <c r="AQ951" s="68"/>
      <c r="AR951" s="68"/>
      <c r="AS951" s="68"/>
      <c r="AT951" s="68"/>
      <c r="AU951" s="68"/>
      <c r="AV951" s="68"/>
      <c r="AW951" s="68"/>
      <c r="AX951" s="68"/>
      <c r="AY951" s="68"/>
      <c r="BG951" s="1611"/>
      <c r="BH951" s="1611"/>
      <c r="BI951" s="1611"/>
      <c r="BJ951" s="1611"/>
      <c r="BK951" s="1611"/>
      <c r="BL951" s="1611"/>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 customHeight="1">
      <c r="A954" s="67"/>
      <c r="B954" s="79"/>
      <c r="C954" s="965"/>
      <c r="D954" s="1795" t="s">
        <v>648</v>
      </c>
      <c r="E954" s="1796"/>
      <c r="F954" s="1796"/>
      <c r="G954" s="1796"/>
      <c r="H954" s="1796"/>
      <c r="I954" s="1796"/>
      <c r="J954" s="1796"/>
      <c r="K954" s="1796"/>
      <c r="L954" s="1796"/>
      <c r="M954" s="1796"/>
      <c r="N954" s="1796"/>
      <c r="O954" s="1796"/>
      <c r="P954" s="1796"/>
      <c r="Q954" s="1797"/>
      <c r="R954" s="1795" t="s">
        <v>649</v>
      </c>
      <c r="S954" s="1796"/>
      <c r="T954" s="1796"/>
      <c r="U954" s="1796"/>
      <c r="V954" s="1796"/>
      <c r="W954" s="1796"/>
      <c r="X954" s="1796"/>
      <c r="Y954" s="1796"/>
      <c r="Z954" s="1796"/>
      <c r="AA954" s="1797"/>
      <c r="AB954" s="1795" t="s">
        <v>650</v>
      </c>
      <c r="AC954" s="1796"/>
      <c r="AD954" s="1796"/>
      <c r="AE954" s="1796"/>
      <c r="AF954" s="1796"/>
      <c r="AG954" s="1796"/>
      <c r="AH954" s="1796"/>
      <c r="AI954" s="1797"/>
      <c r="AJ954" s="1795" t="s">
        <v>651</v>
      </c>
      <c r="AK954" s="1796"/>
      <c r="AL954" s="1796"/>
      <c r="AM954" s="1796"/>
      <c r="AN954" s="1796"/>
      <c r="AO954" s="1796"/>
      <c r="AP954" s="1796"/>
      <c r="AQ954" s="1797"/>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 customHeight="1">
      <c r="B955" s="73"/>
      <c r="C955" s="966"/>
      <c r="D955" s="1709" t="s">
        <v>643</v>
      </c>
      <c r="E955" s="1710"/>
      <c r="F955" s="1710"/>
      <c r="G955" s="1710"/>
      <c r="H955" s="1710"/>
      <c r="I955" s="1710"/>
      <c r="J955" s="1710"/>
      <c r="K955" s="1710"/>
      <c r="L955" s="1710"/>
      <c r="M955" s="1710"/>
      <c r="N955" s="1710"/>
      <c r="O955" s="1710"/>
      <c r="P955" s="1710"/>
      <c r="Q955" s="1711"/>
      <c r="R955" s="1686">
        <f>IF(ISNA(IF($BN$785="4%",(INDEX($BP$795:$BT$852,MATCH($CB$785,$BO$795:$BO$852,0),MATCH(D955,$BP$794:$BT$794,0))),(INDEX($BW$795:$CA$852,MATCH($CB$785,$BV$795:$BV$852,0),MATCH(D955,$BW$794:$CA$794,0))))),0,IF($BN$785="4%",(INDEX($BP$795:$BT$852,MATCH($CB$785,$BO$795:$BO$852,0),MATCH(D955,$BP$794:$BT$794,0))),(INDEX($BW$795:$CA$852,MATCH($CB$785,$BV$795:$BV$852,0),MATCH(D955,$BW$794:$CA$794,0)))))</f>
        <v>353173</v>
      </c>
      <c r="S955" s="1686"/>
      <c r="T955" s="1686"/>
      <c r="U955" s="1686"/>
      <c r="V955" s="1686"/>
      <c r="W955" s="1686"/>
      <c r="X955" s="1686"/>
      <c r="Y955" s="1686"/>
      <c r="Z955" s="1686"/>
      <c r="AA955" s="1686"/>
      <c r="AB955" s="1798">
        <f>BN649</f>
        <v>0</v>
      </c>
      <c r="AC955" s="1799"/>
      <c r="AD955" s="1799"/>
      <c r="AE955" s="1799"/>
      <c r="AF955" s="1799"/>
      <c r="AG955" s="1799"/>
      <c r="AH955" s="1799"/>
      <c r="AI955" s="1800"/>
      <c r="AJ955" s="1714">
        <f>IF(ISERROR((R955*AB955)),0,(R955*AB955))</f>
        <v>0</v>
      </c>
      <c r="AK955" s="1715"/>
      <c r="AL955" s="1715"/>
      <c r="AM955" s="1715"/>
      <c r="AN955" s="1715"/>
      <c r="AO955" s="1715"/>
      <c r="AP955" s="1715"/>
      <c r="AQ955" s="1716"/>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 customHeight="1">
      <c r="B956" s="73"/>
      <c r="C956" s="83"/>
      <c r="D956" s="1709" t="s">
        <v>327</v>
      </c>
      <c r="E956" s="1710"/>
      <c r="F956" s="1710"/>
      <c r="G956" s="1710"/>
      <c r="H956" s="1710"/>
      <c r="I956" s="1710"/>
      <c r="J956" s="1710"/>
      <c r="K956" s="1710"/>
      <c r="L956" s="1710"/>
      <c r="M956" s="1710"/>
      <c r="N956" s="1710"/>
      <c r="O956" s="1710"/>
      <c r="P956" s="1710"/>
      <c r="Q956" s="1711"/>
      <c r="R956" s="1686">
        <f>IF(ISNA(IF($BN$785="4%",(INDEX($BP$795:$BT$852,MATCH($CB$785,$BO$795:$BO$852,0),MATCH(D956,$BP$794:$BT$794,0))),(INDEX($BW$795:$CA$852,MATCH($CB$785,$BV$795:$BV$852,0),MATCH(D956,$BW$794:$CA$794,0))))),0,IF($BN$785="4%",(INDEX($BP$795:$BT$852,MATCH($CB$785,$BO$795:$BO$852,0),MATCH(D956,$BP$794:$BT$794,0))),(INDEX($BW$795:$CA$852,MATCH($CB$785,$BV$795:$BV$852,0),MATCH(D956,$BW$794:$CA$794,0)))))</f>
        <v>407205</v>
      </c>
      <c r="S956" s="1686"/>
      <c r="T956" s="1686"/>
      <c r="U956" s="1686"/>
      <c r="V956" s="1686"/>
      <c r="W956" s="1686"/>
      <c r="X956" s="1686"/>
      <c r="Y956" s="1686"/>
      <c r="Z956" s="1686"/>
      <c r="AA956" s="1686"/>
      <c r="AB956" s="1798">
        <f>BS649</f>
        <v>105</v>
      </c>
      <c r="AC956" s="1799"/>
      <c r="AD956" s="1799"/>
      <c r="AE956" s="1799"/>
      <c r="AF956" s="1799"/>
      <c r="AG956" s="1799"/>
      <c r="AH956" s="1799"/>
      <c r="AI956" s="1800"/>
      <c r="AJ956" s="1714">
        <f>IF(ISERROR((R956*AB956)),0,(R956*AB956))</f>
        <v>42756525</v>
      </c>
      <c r="AK956" s="1715"/>
      <c r="AL956" s="1715"/>
      <c r="AM956" s="1715"/>
      <c r="AN956" s="1715"/>
      <c r="AO956" s="1715"/>
      <c r="AP956" s="1715"/>
      <c r="AQ956" s="1716"/>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 customHeight="1">
      <c r="B957" s="73"/>
      <c r="C957" s="83"/>
      <c r="D957" s="1709" t="s">
        <v>164</v>
      </c>
      <c r="E957" s="1710"/>
      <c r="F957" s="1710"/>
      <c r="G957" s="1710"/>
      <c r="H957" s="1710"/>
      <c r="I957" s="1710"/>
      <c r="J957" s="1710"/>
      <c r="K957" s="1710"/>
      <c r="L957" s="1710"/>
      <c r="M957" s="1710"/>
      <c r="N957" s="1710"/>
      <c r="O957" s="1710"/>
      <c r="P957" s="1710"/>
      <c r="Q957" s="1711"/>
      <c r="R957" s="1686">
        <f>IF(ISNA(IF($BN$785="4%",(INDEX($BP$795:$BT$852,MATCH($CB$785,$BO$795:$BO$852,0),MATCH(D957,$BP$794:$BT$794,0))),(INDEX($BW$795:$CA$852,MATCH($CB$785,$BV$795:$BV$852,0),MATCH(D957,$BW$794:$CA$794,0))))),0,IF($BN$785="4%",(INDEX($BP$795:$BT$852,MATCH($CB$785,$BO$795:$BO$852,0),MATCH(D957,$BP$794:$BT$794,0))),(INDEX($BW$795:$CA$852,MATCH($CB$785,$BV$795:$BV$852,0),MATCH(D957,$BW$794:$CA$794,0)))))</f>
        <v>491200</v>
      </c>
      <c r="S957" s="1686"/>
      <c r="T957" s="1686"/>
      <c r="U957" s="1686"/>
      <c r="V957" s="1686"/>
      <c r="W957" s="1686"/>
      <c r="X957" s="1686"/>
      <c r="Y957" s="1686"/>
      <c r="Z957" s="1686"/>
      <c r="AA957" s="1686"/>
      <c r="AB957" s="1798">
        <f>BX649</f>
        <v>63</v>
      </c>
      <c r="AC957" s="1799"/>
      <c r="AD957" s="1799"/>
      <c r="AE957" s="1799"/>
      <c r="AF957" s="1799"/>
      <c r="AG957" s="1799"/>
      <c r="AH957" s="1799"/>
      <c r="AI957" s="1800"/>
      <c r="AJ957" s="1714">
        <f>IF(ISERROR((R957*AB957)),0,(R957*AB957))</f>
        <v>30945600</v>
      </c>
      <c r="AK957" s="1715"/>
      <c r="AL957" s="1715"/>
      <c r="AM957" s="1715"/>
      <c r="AN957" s="1715"/>
      <c r="AO957" s="1715"/>
      <c r="AP957" s="1715"/>
      <c r="AQ957" s="1716"/>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 customHeight="1">
      <c r="B958" s="73"/>
      <c r="C958" s="83"/>
      <c r="D958" s="1709" t="s">
        <v>165</v>
      </c>
      <c r="E958" s="1710"/>
      <c r="F958" s="1710"/>
      <c r="G958" s="1710"/>
      <c r="H958" s="1710"/>
      <c r="I958" s="1710"/>
      <c r="J958" s="1710"/>
      <c r="K958" s="1710"/>
      <c r="L958" s="1710"/>
      <c r="M958" s="1710"/>
      <c r="N958" s="1710"/>
      <c r="O958" s="1710"/>
      <c r="P958" s="1710"/>
      <c r="Q958" s="1711"/>
      <c r="R958" s="1686">
        <f>IF(ISNA(IF($BN$785="4%",(INDEX($BP$795:$BT$852,MATCH($CB$785,$BO$795:$BO$852,0),MATCH(D958,$BP$794:$BT$794,0))),(INDEX($BW$795:$CA$852,MATCH($CB$785,$BV$795:$BV$852,0),MATCH(D958,$BW$794:$CA$794,0))))),0,IF($BN$785="4%",(INDEX($BP$795:$BT$852,MATCH($CB$785,$BO$795:$BO$852,0),MATCH(D958,$BP$794:$BT$794,0))),(INDEX($BW$795:$CA$852,MATCH($CB$785,$BV$795:$BV$852,0),MATCH(D958,$BW$794:$CA$794,0)))))</f>
        <v>628736</v>
      </c>
      <c r="S958" s="1686"/>
      <c r="T958" s="1686"/>
      <c r="U958" s="1686"/>
      <c r="V958" s="1686"/>
      <c r="W958" s="1686"/>
      <c r="X958" s="1686"/>
      <c r="Y958" s="1686"/>
      <c r="Z958" s="1686"/>
      <c r="AA958" s="1686"/>
      <c r="AB958" s="1798">
        <f>CC649</f>
        <v>60</v>
      </c>
      <c r="AC958" s="1799"/>
      <c r="AD958" s="1799"/>
      <c r="AE958" s="1799"/>
      <c r="AF958" s="1799"/>
      <c r="AG958" s="1799"/>
      <c r="AH958" s="1799"/>
      <c r="AI958" s="1800"/>
      <c r="AJ958" s="1714">
        <f>IF(ISERROR((R958*AB958)),0,(R958*AB958))</f>
        <v>37724160</v>
      </c>
      <c r="AK958" s="1715"/>
      <c r="AL958" s="1715"/>
      <c r="AM958" s="1715"/>
      <c r="AN958" s="1715"/>
      <c r="AO958" s="1715"/>
      <c r="AP958" s="1715"/>
      <c r="AQ958" s="1716"/>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 customHeight="1">
      <c r="A959" s="14"/>
      <c r="B959" s="47"/>
      <c r="C959" s="78"/>
      <c r="D959" s="1709" t="s">
        <v>470</v>
      </c>
      <c r="E959" s="1710"/>
      <c r="F959" s="1710"/>
      <c r="G959" s="1710"/>
      <c r="H959" s="1710"/>
      <c r="I959" s="1710"/>
      <c r="J959" s="1710"/>
      <c r="K959" s="1710"/>
      <c r="L959" s="1710"/>
      <c r="M959" s="1710"/>
      <c r="N959" s="1710"/>
      <c r="O959" s="1710"/>
      <c r="P959" s="1710"/>
      <c r="Q959" s="1711"/>
      <c r="R959" s="1686">
        <f>IF(ISNA(IF($BN$785="4%",(INDEX($BP$795:$BT$852,MATCH($CB$785,$BO$795:$BO$852,0),MATCH(D959,$BP$794:$BT$794,0))),(INDEX($BW$795:$CA$852,MATCH($CB$785,$BV$795:$BV$852,0),MATCH(D959,$BW$794:$CA$794,0))))),0,IF($BN$785="4%",(INDEX($BP$795:$BT$852,MATCH($CB$785,$BO$795:$BO$852,0),MATCH(D959,$BP$794:$BT$794,0))),(INDEX($BW$795:$CA$852,MATCH($CB$785,$BV$795:$BV$852,0),MATCH(D959,$BW$794:$CA$794,0)))))</f>
        <v>700451</v>
      </c>
      <c r="S959" s="1686"/>
      <c r="T959" s="1686"/>
      <c r="U959" s="1686"/>
      <c r="V959" s="1686"/>
      <c r="W959" s="1686"/>
      <c r="X959" s="1686"/>
      <c r="Y959" s="1686"/>
      <c r="Z959" s="1686"/>
      <c r="AA959" s="1686"/>
      <c r="AB959" s="1798">
        <f>CM649+CH649</f>
        <v>0</v>
      </c>
      <c r="AC959" s="1799"/>
      <c r="AD959" s="1799"/>
      <c r="AE959" s="1799"/>
      <c r="AF959" s="1799"/>
      <c r="AG959" s="1799"/>
      <c r="AH959" s="1799"/>
      <c r="AI959" s="1800"/>
      <c r="AJ959" s="1714">
        <f>IF(ISERROR((R959*AB959)),0,(R959*AB959))</f>
        <v>0</v>
      </c>
      <c r="AK959" s="1715"/>
      <c r="AL959" s="1715"/>
      <c r="AM959" s="1715"/>
      <c r="AN959" s="1715"/>
      <c r="AO959" s="1715"/>
      <c r="AP959" s="1715"/>
      <c r="AQ959" s="1716"/>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 customHeight="1">
      <c r="A960" s="14"/>
      <c r="B960" s="1810" t="s">
        <v>816</v>
      </c>
      <c r="C960" s="1811"/>
      <c r="D960" s="1811"/>
      <c r="E960" s="1811"/>
      <c r="F960" s="1811"/>
      <c r="G960" s="1811"/>
      <c r="H960" s="1811"/>
      <c r="I960" s="1811"/>
      <c r="J960" s="1811"/>
      <c r="K960" s="1811"/>
      <c r="L960" s="1811"/>
      <c r="M960" s="1811"/>
      <c r="N960" s="1811"/>
      <c r="O960" s="1811"/>
      <c r="P960" s="1811"/>
      <c r="Q960" s="1811"/>
      <c r="R960" s="1811"/>
      <c r="S960" s="1811"/>
      <c r="T960" s="1811"/>
      <c r="U960" s="1811"/>
      <c r="V960" s="1811"/>
      <c r="W960" s="1811"/>
      <c r="X960" s="1811"/>
      <c r="Y960" s="1811"/>
      <c r="Z960" s="1811"/>
      <c r="AA960" s="1812"/>
      <c r="AB960" s="1798">
        <f>SUM(AB955:AI959)</f>
        <v>228</v>
      </c>
      <c r="AC960" s="1799"/>
      <c r="AD960" s="1799"/>
      <c r="AE960" s="1799"/>
      <c r="AF960" s="1799"/>
      <c r="AG960" s="1799"/>
      <c r="AH960" s="1799"/>
      <c r="AI960" s="1800"/>
      <c r="AJ960" s="1714"/>
      <c r="AK960" s="1715"/>
      <c r="AL960" s="1715"/>
      <c r="AM960" s="1715"/>
      <c r="AN960" s="1715"/>
      <c r="AO960" s="1715"/>
      <c r="AP960" s="1715"/>
      <c r="AQ960" s="1716"/>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 customHeight="1">
      <c r="A961" s="14"/>
      <c r="B961" s="1828" t="s">
        <v>522</v>
      </c>
      <c r="C961" s="1829"/>
      <c r="D961" s="1829"/>
      <c r="E961" s="1829"/>
      <c r="F961" s="1829"/>
      <c r="G961" s="1829"/>
      <c r="H961" s="1829"/>
      <c r="I961" s="1829"/>
      <c r="J961" s="1829"/>
      <c r="K961" s="1829"/>
      <c r="L961" s="1829"/>
      <c r="M961" s="1829"/>
      <c r="N961" s="1829"/>
      <c r="O961" s="1829"/>
      <c r="P961" s="1829"/>
      <c r="Q961" s="1829"/>
      <c r="R961" s="1829"/>
      <c r="S961" s="1829"/>
      <c r="T961" s="1829"/>
      <c r="U961" s="1829"/>
      <c r="V961" s="1829"/>
      <c r="W961" s="1829"/>
      <c r="X961" s="1829"/>
      <c r="Y961" s="1829"/>
      <c r="Z961" s="1829"/>
      <c r="AA961" s="1829"/>
      <c r="AB961" s="1829"/>
      <c r="AC961" s="1829"/>
      <c r="AD961" s="1829"/>
      <c r="AE961" s="1829"/>
      <c r="AF961" s="1829"/>
      <c r="AG961" s="1829"/>
      <c r="AH961" s="1829"/>
      <c r="AI961" s="1830"/>
      <c r="AJ961" s="1714">
        <f>SUM(AJ955:AQ959)</f>
        <v>111426285</v>
      </c>
      <c r="AK961" s="1715"/>
      <c r="AL961" s="1715"/>
      <c r="AM961" s="1715"/>
      <c r="AN961" s="1715"/>
      <c r="AO961" s="1715"/>
      <c r="AP961" s="1715"/>
      <c r="AQ961" s="1716"/>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 customHeight="1">
      <c r="A962" s="14"/>
      <c r="B962" s="1789"/>
      <c r="C962" s="1790"/>
      <c r="D962" s="1790"/>
      <c r="E962" s="1790"/>
      <c r="F962" s="1790"/>
      <c r="G962" s="1790"/>
      <c r="H962" s="1790"/>
      <c r="I962" s="1790"/>
      <c r="J962" s="1790"/>
      <c r="K962" s="1790"/>
      <c r="L962" s="1790"/>
      <c r="M962" s="1790"/>
      <c r="N962" s="1790"/>
      <c r="O962" s="1790"/>
      <c r="P962" s="1790"/>
      <c r="Q962" s="1790"/>
      <c r="R962" s="1790"/>
      <c r="S962" s="1790"/>
      <c r="T962" s="1790"/>
      <c r="U962" s="1790"/>
      <c r="V962" s="1790"/>
      <c r="W962" s="1790"/>
      <c r="X962" s="1790"/>
      <c r="Y962" s="1790"/>
      <c r="Z962" s="1790"/>
      <c r="AA962" s="1790"/>
      <c r="AB962" s="1790"/>
      <c r="AC962" s="1790"/>
      <c r="AD962" s="1790"/>
      <c r="AE962" s="1791"/>
      <c r="AF962" s="1831" t="s">
        <v>676</v>
      </c>
      <c r="AG962" s="1832"/>
      <c r="AH962" s="1832"/>
      <c r="AI962" s="1833"/>
      <c r="AJ962" s="1789"/>
      <c r="AK962" s="1790"/>
      <c r="AL962" s="1790"/>
      <c r="AM962" s="1790"/>
      <c r="AN962" s="1790"/>
      <c r="AO962" s="1790"/>
      <c r="AP962" s="1790"/>
      <c r="AQ962" s="1791"/>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 customHeight="1">
      <c r="A963" s="14"/>
      <c r="B963" s="73"/>
      <c r="C963" s="964" t="s">
        <v>678</v>
      </c>
      <c r="D963" s="1792" t="s">
        <v>1363</v>
      </c>
      <c r="E963" s="1793"/>
      <c r="F963" s="1793"/>
      <c r="G963" s="1793"/>
      <c r="H963" s="1793"/>
      <c r="I963" s="1793"/>
      <c r="J963" s="1793"/>
      <c r="K963" s="1793"/>
      <c r="L963" s="1793"/>
      <c r="M963" s="1793"/>
      <c r="N963" s="1793"/>
      <c r="O963" s="1793"/>
      <c r="P963" s="1793"/>
      <c r="Q963" s="1793"/>
      <c r="R963" s="1793"/>
      <c r="S963" s="1793"/>
      <c r="T963" s="1793"/>
      <c r="U963" s="1793"/>
      <c r="V963" s="1793"/>
      <c r="W963" s="1793"/>
      <c r="X963" s="1793"/>
      <c r="Y963" s="1793"/>
      <c r="Z963" s="1793"/>
      <c r="AA963" s="1793"/>
      <c r="AB963" s="1793"/>
      <c r="AC963" s="1793"/>
      <c r="AD963" s="1793"/>
      <c r="AE963" s="1794"/>
      <c r="AF963" s="79"/>
      <c r="AG963" s="1834" t="s">
        <v>679</v>
      </c>
      <c r="AH963" s="1835"/>
      <c r="AI963" s="87"/>
      <c r="AJ963" s="1772">
        <f>ROUND(IF(AND(AG963="yes",D965&gt;0),AJ961*0.2,0),0)</f>
        <v>0</v>
      </c>
      <c r="AK963" s="1773"/>
      <c r="AL963" s="1773"/>
      <c r="AM963" s="1773"/>
      <c r="AN963" s="1773"/>
      <c r="AO963" s="1773"/>
      <c r="AP963" s="1773"/>
      <c r="AQ963" s="1774"/>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13" t="s">
        <v>1364</v>
      </c>
      <c r="E964" s="1814"/>
      <c r="F964" s="1814"/>
      <c r="G964" s="1814"/>
      <c r="H964" s="1814"/>
      <c r="I964" s="1814"/>
      <c r="J964" s="1814"/>
      <c r="K964" s="1814"/>
      <c r="L964" s="1814"/>
      <c r="M964" s="1814"/>
      <c r="N964" s="1814"/>
      <c r="O964" s="1814"/>
      <c r="P964" s="1814"/>
      <c r="Q964" s="1814"/>
      <c r="R964" s="1814"/>
      <c r="S964" s="1814"/>
      <c r="T964" s="1814"/>
      <c r="U964" s="1814"/>
      <c r="V964" s="1814"/>
      <c r="W964" s="1814"/>
      <c r="X964" s="1814"/>
      <c r="Y964" s="1814"/>
      <c r="Z964" s="1814"/>
      <c r="AA964" s="1814"/>
      <c r="AB964" s="1814"/>
      <c r="AC964" s="1814"/>
      <c r="AD964" s="1814"/>
      <c r="AE964" s="1815"/>
      <c r="AF964" s="73"/>
      <c r="AG964" s="14"/>
      <c r="AH964" s="14"/>
      <c r="AI964" s="83"/>
      <c r="AJ964" s="1775"/>
      <c r="AK964" s="1776"/>
      <c r="AL964" s="1776"/>
      <c r="AM964" s="1776"/>
      <c r="AN964" s="1776"/>
      <c r="AO964" s="1776"/>
      <c r="AP964" s="1776"/>
      <c r="AQ964" s="1777"/>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 customHeight="1">
      <c r="A965" s="14"/>
      <c r="B965" s="277"/>
      <c r="C965" s="276"/>
      <c r="D965" s="1816"/>
      <c r="E965" s="1817"/>
      <c r="F965" s="1817"/>
      <c r="G965" s="1817"/>
      <c r="H965" s="1817"/>
      <c r="I965" s="1817"/>
      <c r="J965" s="1817"/>
      <c r="K965" s="1817"/>
      <c r="L965" s="1817"/>
      <c r="M965" s="1817"/>
      <c r="N965" s="1817"/>
      <c r="O965" s="1817"/>
      <c r="P965" s="1817"/>
      <c r="Q965" s="1817"/>
      <c r="R965" s="1817"/>
      <c r="S965" s="1817"/>
      <c r="T965" s="1817"/>
      <c r="U965" s="1817"/>
      <c r="V965" s="1817"/>
      <c r="W965" s="1817"/>
      <c r="X965" s="1817"/>
      <c r="Y965" s="1817"/>
      <c r="Z965" s="1817"/>
      <c r="AA965" s="1817"/>
      <c r="AB965" s="1817"/>
      <c r="AC965" s="1817"/>
      <c r="AD965" s="1817"/>
      <c r="AE965" s="1818"/>
      <c r="AF965" s="77"/>
      <c r="AG965" s="7"/>
      <c r="AH965" s="7"/>
      <c r="AI965" s="78"/>
      <c r="AJ965" s="1778"/>
      <c r="AK965" s="1779"/>
      <c r="AL965" s="1779"/>
      <c r="AM965" s="1779"/>
      <c r="AN965" s="1779"/>
      <c r="AO965" s="1779"/>
      <c r="AP965" s="1779"/>
      <c r="AQ965" s="1780"/>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 customHeight="1">
      <c r="A966" s="14"/>
      <c r="B966" s="275"/>
      <c r="C966" s="345"/>
      <c r="D966" s="1753" t="s">
        <v>1449</v>
      </c>
      <c r="E966" s="1754"/>
      <c r="F966" s="1754"/>
      <c r="G966" s="1754"/>
      <c r="H966" s="1754"/>
      <c r="I966" s="1754"/>
      <c r="J966" s="1754"/>
      <c r="K966" s="1754"/>
      <c r="L966" s="1754"/>
      <c r="M966" s="1754"/>
      <c r="N966" s="1754"/>
      <c r="O966" s="1754"/>
      <c r="P966" s="1754"/>
      <c r="Q966" s="1754"/>
      <c r="R966" s="1754"/>
      <c r="S966" s="1754"/>
      <c r="T966" s="1754"/>
      <c r="U966" s="1754"/>
      <c r="V966" s="1754"/>
      <c r="W966" s="1754"/>
      <c r="X966" s="1754"/>
      <c r="Y966" s="1754"/>
      <c r="Z966" s="1754"/>
      <c r="AA966" s="1754"/>
      <c r="AB966" s="1754"/>
      <c r="AC966" s="1754"/>
      <c r="AD966" s="1754"/>
      <c r="AE966" s="1755"/>
      <c r="AF966" s="79"/>
      <c r="AG966" s="1765" t="s">
        <v>679</v>
      </c>
      <c r="AH966" s="1766"/>
      <c r="AI966" s="87"/>
      <c r="AJ966" s="1772">
        <f>ROUND(IF(AG966="yes",AJ961*0.05,0),0)</f>
        <v>0</v>
      </c>
      <c r="AK966" s="1773"/>
      <c r="AL966" s="1773"/>
      <c r="AM966" s="1773"/>
      <c r="AN966" s="1773"/>
      <c r="AO966" s="1773"/>
      <c r="AP966" s="1773"/>
      <c r="AQ966" s="1774"/>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 customHeight="1">
      <c r="A967" s="14"/>
      <c r="B967" s="277"/>
      <c r="C967" s="82"/>
      <c r="D967" s="1813" t="s">
        <v>1447</v>
      </c>
      <c r="E967" s="1814"/>
      <c r="F967" s="1814"/>
      <c r="G967" s="1814"/>
      <c r="H967" s="1814"/>
      <c r="I967" s="1814"/>
      <c r="J967" s="1814"/>
      <c r="K967" s="1814"/>
      <c r="L967" s="1814"/>
      <c r="M967" s="1814"/>
      <c r="N967" s="1814"/>
      <c r="O967" s="1814"/>
      <c r="P967" s="1814"/>
      <c r="Q967" s="1814"/>
      <c r="R967" s="1814"/>
      <c r="S967" s="1814"/>
      <c r="T967" s="1814"/>
      <c r="U967" s="1814"/>
      <c r="V967" s="1814"/>
      <c r="W967" s="1814"/>
      <c r="X967" s="1814"/>
      <c r="Y967" s="1814"/>
      <c r="Z967" s="1814"/>
      <c r="AA967" s="1814"/>
      <c r="AB967" s="1814"/>
      <c r="AC967" s="1814"/>
      <c r="AD967" s="1814"/>
      <c r="AE967" s="1815"/>
      <c r="AF967" s="73"/>
      <c r="AG967" s="14"/>
      <c r="AH967" s="14"/>
      <c r="AI967" s="83"/>
      <c r="AJ967" s="1775"/>
      <c r="AK967" s="1776"/>
      <c r="AL967" s="1776"/>
      <c r="AM967" s="1776"/>
      <c r="AN967" s="1776"/>
      <c r="AO967" s="1776"/>
      <c r="AP967" s="1776"/>
      <c r="AQ967" s="1777"/>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 customHeight="1">
      <c r="A968" s="14"/>
      <c r="B968" s="277"/>
      <c r="C968" s="82"/>
      <c r="D968" s="1813"/>
      <c r="E968" s="1814"/>
      <c r="F968" s="1814"/>
      <c r="G968" s="1814"/>
      <c r="H968" s="1814"/>
      <c r="I968" s="1814"/>
      <c r="J968" s="1814"/>
      <c r="K968" s="1814"/>
      <c r="L968" s="1814"/>
      <c r="M968" s="1814"/>
      <c r="N968" s="1814"/>
      <c r="O968" s="1814"/>
      <c r="P968" s="1814"/>
      <c r="Q968" s="1814"/>
      <c r="R968" s="1814"/>
      <c r="S968" s="1814"/>
      <c r="T968" s="1814"/>
      <c r="U968" s="1814"/>
      <c r="V968" s="1814"/>
      <c r="W968" s="1814"/>
      <c r="X968" s="1814"/>
      <c r="Y968" s="1814"/>
      <c r="Z968" s="1814"/>
      <c r="AA968" s="1814"/>
      <c r="AB968" s="1814"/>
      <c r="AC968" s="1814"/>
      <c r="AD968" s="1814"/>
      <c r="AE968" s="1815"/>
      <c r="AF968" s="73"/>
      <c r="AG968" s="14"/>
      <c r="AH968" s="14"/>
      <c r="AI968" s="83"/>
      <c r="AJ968" s="1775"/>
      <c r="AK968" s="1776"/>
      <c r="AL968" s="1776"/>
      <c r="AM968" s="1776"/>
      <c r="AN968" s="1776"/>
      <c r="AO968" s="1776"/>
      <c r="AP968" s="1776"/>
      <c r="AQ968" s="1777"/>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 customHeight="1">
      <c r="A969" s="14"/>
      <c r="B969" s="277"/>
      <c r="C969" s="82"/>
      <c r="D969" s="1813"/>
      <c r="E969" s="1814"/>
      <c r="F969" s="1814"/>
      <c r="G969" s="1814"/>
      <c r="H969" s="1814"/>
      <c r="I969" s="1814"/>
      <c r="J969" s="1814"/>
      <c r="K969" s="1814"/>
      <c r="L969" s="1814"/>
      <c r="M969" s="1814"/>
      <c r="N969" s="1814"/>
      <c r="O969" s="1814"/>
      <c r="P969" s="1814"/>
      <c r="Q969" s="1814"/>
      <c r="R969" s="1814"/>
      <c r="S969" s="1814"/>
      <c r="T969" s="1814"/>
      <c r="U969" s="1814"/>
      <c r="V969" s="1814"/>
      <c r="W969" s="1814"/>
      <c r="X969" s="1814"/>
      <c r="Y969" s="1814"/>
      <c r="Z969" s="1814"/>
      <c r="AA969" s="1814"/>
      <c r="AB969" s="1814"/>
      <c r="AC969" s="1814"/>
      <c r="AD969" s="1814"/>
      <c r="AE969" s="1815"/>
      <c r="AF969" s="73"/>
      <c r="AG969" s="14"/>
      <c r="AH969" s="14"/>
      <c r="AI969" s="83"/>
      <c r="AJ969" s="1775"/>
      <c r="AK969" s="1776"/>
      <c r="AL969" s="1776"/>
      <c r="AM969" s="1776"/>
      <c r="AN969" s="1776"/>
      <c r="AO969" s="1776"/>
      <c r="AP969" s="1776"/>
      <c r="AQ969" s="1777"/>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 customHeight="1">
      <c r="A970" s="14"/>
      <c r="B970" s="277"/>
      <c r="C970" s="82"/>
      <c r="D970" s="1813"/>
      <c r="E970" s="1814"/>
      <c r="F970" s="1814"/>
      <c r="G970" s="1814"/>
      <c r="H970" s="1814"/>
      <c r="I970" s="1814"/>
      <c r="J970" s="1814"/>
      <c r="K970" s="1814"/>
      <c r="L970" s="1814"/>
      <c r="M970" s="1814"/>
      <c r="N970" s="1814"/>
      <c r="O970" s="1814"/>
      <c r="P970" s="1814"/>
      <c r="Q970" s="1814"/>
      <c r="R970" s="1814"/>
      <c r="S970" s="1814"/>
      <c r="T970" s="1814"/>
      <c r="U970" s="1814"/>
      <c r="V970" s="1814"/>
      <c r="W970" s="1814"/>
      <c r="X970" s="1814"/>
      <c r="Y970" s="1814"/>
      <c r="Z970" s="1814"/>
      <c r="AA970" s="1814"/>
      <c r="AB970" s="1814"/>
      <c r="AC970" s="1814"/>
      <c r="AD970" s="1814"/>
      <c r="AE970" s="1815"/>
      <c r="AF970" s="73"/>
      <c r="AG970" s="14"/>
      <c r="AH970" s="14"/>
      <c r="AI970" s="83"/>
      <c r="AJ970" s="1775"/>
      <c r="AK970" s="1776"/>
      <c r="AL970" s="1776"/>
      <c r="AM970" s="1776"/>
      <c r="AN970" s="1776"/>
      <c r="AO970" s="1776"/>
      <c r="AP970" s="1776"/>
      <c r="AQ970" s="1777"/>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 customHeight="1">
      <c r="A971" s="14"/>
      <c r="B971" s="75"/>
      <c r="C971" s="76"/>
      <c r="D971" s="1819"/>
      <c r="E971" s="1820"/>
      <c r="F971" s="1820"/>
      <c r="G971" s="1820"/>
      <c r="H971" s="1820"/>
      <c r="I971" s="1820"/>
      <c r="J971" s="1820"/>
      <c r="K971" s="1820"/>
      <c r="L971" s="1820"/>
      <c r="M971" s="1820"/>
      <c r="N971" s="1820"/>
      <c r="O971" s="1820"/>
      <c r="P971" s="1820"/>
      <c r="Q971" s="1820"/>
      <c r="R971" s="1820"/>
      <c r="S971" s="1820"/>
      <c r="T971" s="1820"/>
      <c r="U971" s="1820"/>
      <c r="V971" s="1820"/>
      <c r="W971" s="1820"/>
      <c r="X971" s="1820"/>
      <c r="Y971" s="1820"/>
      <c r="Z971" s="1820"/>
      <c r="AA971" s="1820"/>
      <c r="AB971" s="1820"/>
      <c r="AC971" s="1820"/>
      <c r="AD971" s="1820"/>
      <c r="AE971" s="1821"/>
      <c r="AF971" s="77"/>
      <c r="AG971" s="7"/>
      <c r="AH971" s="7"/>
      <c r="AI971" s="78"/>
      <c r="AJ971" s="1778"/>
      <c r="AK971" s="1779"/>
      <c r="AL971" s="1779"/>
      <c r="AM971" s="1779"/>
      <c r="AN971" s="1779"/>
      <c r="AO971" s="1779"/>
      <c r="AP971" s="1779"/>
      <c r="AQ971" s="1780"/>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 customHeight="1">
      <c r="A972" s="14"/>
      <c r="B972" s="275"/>
      <c r="C972" s="80" t="s">
        <v>682</v>
      </c>
      <c r="D972" s="1753" t="s">
        <v>1942</v>
      </c>
      <c r="E972" s="1754"/>
      <c r="F972" s="1754"/>
      <c r="G972" s="1754"/>
      <c r="H972" s="1754"/>
      <c r="I972" s="1754"/>
      <c r="J972" s="1754"/>
      <c r="K972" s="1754"/>
      <c r="L972" s="1754"/>
      <c r="M972" s="1754"/>
      <c r="N972" s="1754"/>
      <c r="O972" s="1754"/>
      <c r="P972" s="1754"/>
      <c r="Q972" s="1754"/>
      <c r="R972" s="1754"/>
      <c r="S972" s="1754"/>
      <c r="T972" s="1754"/>
      <c r="U972" s="1754"/>
      <c r="V972" s="1754"/>
      <c r="W972" s="1754"/>
      <c r="X972" s="1754"/>
      <c r="Y972" s="1754"/>
      <c r="Z972" s="1754"/>
      <c r="AA972" s="1754"/>
      <c r="AB972" s="1754"/>
      <c r="AC972" s="1754"/>
      <c r="AD972" s="1754"/>
      <c r="AE972" s="1755"/>
      <c r="AF972" s="86"/>
      <c r="AG972" s="1765" t="s">
        <v>679</v>
      </c>
      <c r="AH972" s="1766"/>
      <c r="AI972" s="87"/>
      <c r="AJ972" s="1772">
        <f>ROUND(IF(AG972="yes",AJ961*0.1,0),0)</f>
        <v>0</v>
      </c>
      <c r="AK972" s="1773"/>
      <c r="AL972" s="1773"/>
      <c r="AM972" s="1773"/>
      <c r="AN972" s="1773"/>
      <c r="AO972" s="1773"/>
      <c r="AP972" s="1773"/>
      <c r="AQ972" s="1774"/>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 customHeight="1">
      <c r="A973" s="14"/>
      <c r="B973" s="73"/>
      <c r="C973" s="74"/>
      <c r="D973" s="1756" t="s">
        <v>1448</v>
      </c>
      <c r="E973" s="1757"/>
      <c r="F973" s="1757"/>
      <c r="G973" s="1757"/>
      <c r="H973" s="1757"/>
      <c r="I973" s="1757"/>
      <c r="J973" s="1757"/>
      <c r="K973" s="1757"/>
      <c r="L973" s="1757"/>
      <c r="M973" s="1757"/>
      <c r="N973" s="1757"/>
      <c r="O973" s="1757"/>
      <c r="P973" s="1757"/>
      <c r="Q973" s="1757"/>
      <c r="R973" s="1757"/>
      <c r="S973" s="1757"/>
      <c r="T973" s="1757"/>
      <c r="U973" s="1757"/>
      <c r="V973" s="1757"/>
      <c r="W973" s="1757"/>
      <c r="X973" s="1757"/>
      <c r="Y973" s="1757"/>
      <c r="Z973" s="1757"/>
      <c r="AA973" s="1757"/>
      <c r="AB973" s="1757"/>
      <c r="AC973" s="1757"/>
      <c r="AD973" s="1757"/>
      <c r="AE973" s="1758"/>
      <c r="AF973" s="73"/>
      <c r="AI973" s="83"/>
      <c r="AJ973" s="1775"/>
      <c r="AK973" s="1776"/>
      <c r="AL973" s="1776"/>
      <c r="AM973" s="1776"/>
      <c r="AN973" s="1776"/>
      <c r="AO973" s="1776"/>
      <c r="AP973" s="1776"/>
      <c r="AQ973" s="1777"/>
      <c r="AR973" s="68"/>
      <c r="AS973" s="68"/>
      <c r="AT973" s="68"/>
      <c r="AU973" s="68"/>
      <c r="AV973" s="68"/>
      <c r="AW973" s="68"/>
      <c r="AX973" s="68"/>
      <c r="AY973" s="68"/>
      <c r="AZ973" s="34"/>
      <c r="BA973" s="951">
        <f>G739+O782</f>
        <v>226</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 customHeight="1">
      <c r="A974" s="14"/>
      <c r="B974" s="73"/>
      <c r="C974" s="74"/>
      <c r="D974" s="1756"/>
      <c r="E974" s="1757"/>
      <c r="F974" s="1757"/>
      <c r="G974" s="1757"/>
      <c r="H974" s="1757"/>
      <c r="I974" s="1757"/>
      <c r="J974" s="1757"/>
      <c r="K974" s="1757"/>
      <c r="L974" s="1757"/>
      <c r="M974" s="1757"/>
      <c r="N974" s="1757"/>
      <c r="O974" s="1757"/>
      <c r="P974" s="1757"/>
      <c r="Q974" s="1757"/>
      <c r="R974" s="1757"/>
      <c r="S974" s="1757"/>
      <c r="T974" s="1757"/>
      <c r="U974" s="1757"/>
      <c r="V974" s="1757"/>
      <c r="W974" s="1757"/>
      <c r="X974" s="1757"/>
      <c r="Y974" s="1757"/>
      <c r="Z974" s="1757"/>
      <c r="AA974" s="1757"/>
      <c r="AB974" s="1757"/>
      <c r="AC974" s="1757"/>
      <c r="AD974" s="1757"/>
      <c r="AE974" s="1758"/>
      <c r="AF974" s="73"/>
      <c r="AG974" s="14"/>
      <c r="AH974" s="14"/>
      <c r="AI974" s="83"/>
      <c r="AJ974" s="1775"/>
      <c r="AK974" s="1776"/>
      <c r="AL974" s="1776"/>
      <c r="AM974" s="1776"/>
      <c r="AN974" s="1776"/>
      <c r="AO974" s="1776"/>
      <c r="AP974" s="1776"/>
      <c r="AQ974" s="1777"/>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 customHeight="1">
      <c r="A975" s="14"/>
      <c r="B975" s="85"/>
      <c r="C975" s="76"/>
      <c r="D975" s="1769"/>
      <c r="E975" s="1770"/>
      <c r="F975" s="1770"/>
      <c r="G975" s="1770"/>
      <c r="H975" s="1770"/>
      <c r="I975" s="1770"/>
      <c r="J975" s="1770"/>
      <c r="K975" s="1770"/>
      <c r="L975" s="1770"/>
      <c r="M975" s="1770"/>
      <c r="N975" s="1770"/>
      <c r="O975" s="1770"/>
      <c r="P975" s="1770"/>
      <c r="Q975" s="1770"/>
      <c r="R975" s="1770"/>
      <c r="S975" s="1770"/>
      <c r="T975" s="1770"/>
      <c r="U975" s="1770"/>
      <c r="V975" s="1770"/>
      <c r="W975" s="1770"/>
      <c r="X975" s="1770"/>
      <c r="Y975" s="1770"/>
      <c r="Z975" s="1770"/>
      <c r="AA975" s="1770"/>
      <c r="AB975" s="1770"/>
      <c r="AC975" s="1770"/>
      <c r="AD975" s="1770"/>
      <c r="AE975" s="1771"/>
      <c r="AF975" s="77"/>
      <c r="AG975" s="7"/>
      <c r="AH975" s="7"/>
      <c r="AI975" s="78"/>
      <c r="AJ975" s="1778"/>
      <c r="AK975" s="1779"/>
      <c r="AL975" s="1779"/>
      <c r="AM975" s="1779"/>
      <c r="AN975" s="1779"/>
      <c r="AO975" s="1779"/>
      <c r="AP975" s="1779"/>
      <c r="AQ975" s="1780"/>
      <c r="AR975" s="68"/>
      <c r="AS975" s="68"/>
      <c r="AT975" s="68"/>
      <c r="AU975" s="68"/>
      <c r="AV975" s="68"/>
      <c r="AW975" s="68"/>
      <c r="AX975" s="68"/>
      <c r="AY975" s="68"/>
      <c r="AZ975" s="34"/>
      <c r="BA975" s="950">
        <f>ROUNDDOWN(X1013/I1013,2)</f>
        <v>0.1</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 customHeight="1">
      <c r="A976" s="14"/>
      <c r="B976" s="79"/>
      <c r="C976" s="80" t="s">
        <v>214</v>
      </c>
      <c r="D976" s="1753" t="s">
        <v>1450</v>
      </c>
      <c r="E976" s="1754"/>
      <c r="F976" s="1754"/>
      <c r="G976" s="1754"/>
      <c r="H976" s="1754"/>
      <c r="I976" s="1754"/>
      <c r="J976" s="1754"/>
      <c r="K976" s="1754"/>
      <c r="L976" s="1754"/>
      <c r="M976" s="1754"/>
      <c r="N976" s="1754"/>
      <c r="O976" s="1754"/>
      <c r="P976" s="1754"/>
      <c r="Q976" s="1754"/>
      <c r="R976" s="1754"/>
      <c r="S976" s="1754"/>
      <c r="T976" s="1754"/>
      <c r="U976" s="1754"/>
      <c r="V976" s="1754"/>
      <c r="W976" s="1754"/>
      <c r="X976" s="1754"/>
      <c r="Y976" s="1754"/>
      <c r="Z976" s="1754"/>
      <c r="AA976" s="1754"/>
      <c r="AB976" s="1754"/>
      <c r="AC976" s="1754"/>
      <c r="AD976" s="1754"/>
      <c r="AE976" s="1755"/>
      <c r="AF976" s="79"/>
      <c r="AG976" s="1765" t="s">
        <v>679</v>
      </c>
      <c r="AH976" s="1766"/>
      <c r="AI976" s="87"/>
      <c r="AJ976" s="1772">
        <f>ROUND(IF(AG976="yes",AJ961*0.02,0),0)</f>
        <v>0</v>
      </c>
      <c r="AK976" s="1773"/>
      <c r="AL976" s="1773"/>
      <c r="AM976" s="1773"/>
      <c r="AN976" s="1773"/>
      <c r="AO976" s="1773"/>
      <c r="AP976" s="1773"/>
      <c r="AQ976" s="1774"/>
      <c r="AR976" s="68"/>
      <c r="AS976" s="68"/>
      <c r="AT976" s="68"/>
      <c r="AU976" s="68"/>
      <c r="AV976" s="68"/>
      <c r="AW976" s="68"/>
      <c r="AX976" s="68"/>
      <c r="AY976" s="68"/>
      <c r="AZ976" s="34"/>
      <c r="BA976" s="950">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 customHeight="1">
      <c r="A977" s="14"/>
      <c r="B977" s="73"/>
      <c r="C977" s="74"/>
      <c r="D977" s="1769" t="s">
        <v>1451</v>
      </c>
      <c r="E977" s="1770"/>
      <c r="F977" s="1770"/>
      <c r="G977" s="1770"/>
      <c r="H977" s="1770"/>
      <c r="I977" s="1770"/>
      <c r="J977" s="1770"/>
      <c r="K977" s="1770"/>
      <c r="L977" s="1770"/>
      <c r="M977" s="1770"/>
      <c r="N977" s="1770"/>
      <c r="O977" s="1770"/>
      <c r="P977" s="1770"/>
      <c r="Q977" s="1770"/>
      <c r="R977" s="1770"/>
      <c r="S977" s="1770"/>
      <c r="T977" s="1770"/>
      <c r="U977" s="1770"/>
      <c r="V977" s="1770"/>
      <c r="W977" s="1770"/>
      <c r="X977" s="1770"/>
      <c r="Y977" s="1770"/>
      <c r="Z977" s="1770"/>
      <c r="AA977" s="1770"/>
      <c r="AB977" s="1770"/>
      <c r="AC977" s="1770"/>
      <c r="AD977" s="1770"/>
      <c r="AE977" s="1771"/>
      <c r="AF977" s="77"/>
      <c r="AG977" s="7"/>
      <c r="AH977" s="7"/>
      <c r="AI977" s="78"/>
      <c r="AJ977" s="1778"/>
      <c r="AK977" s="1779"/>
      <c r="AL977" s="1779"/>
      <c r="AM977" s="1779"/>
      <c r="AN977" s="1779"/>
      <c r="AO977" s="1779"/>
      <c r="AP977" s="1779"/>
      <c r="AQ977" s="1780"/>
      <c r="AR977" s="68"/>
      <c r="AS977" s="68"/>
      <c r="AT977" s="68"/>
      <c r="AU977" s="68"/>
      <c r="AV977" s="68"/>
      <c r="AW977" s="68"/>
      <c r="AX977" s="68"/>
      <c r="AY977" s="68"/>
      <c r="BB977" s="34"/>
      <c r="BC977" s="34"/>
      <c r="BD977" s="34"/>
      <c r="BE977" s="34"/>
      <c r="BF977" s="34"/>
    </row>
    <row r="978" spans="1:58" ht="12.9" customHeight="1">
      <c r="A978" s="14"/>
      <c r="B978" s="79"/>
      <c r="C978" s="80" t="s">
        <v>217</v>
      </c>
      <c r="D978" s="1753" t="s">
        <v>1452</v>
      </c>
      <c r="E978" s="1754"/>
      <c r="F978" s="1754"/>
      <c r="G978" s="1754"/>
      <c r="H978" s="1754"/>
      <c r="I978" s="1754"/>
      <c r="J978" s="1754"/>
      <c r="K978" s="1754"/>
      <c r="L978" s="1754"/>
      <c r="M978" s="1754"/>
      <c r="N978" s="1754"/>
      <c r="O978" s="1754"/>
      <c r="P978" s="1754"/>
      <c r="Q978" s="1754"/>
      <c r="R978" s="1754"/>
      <c r="S978" s="1754"/>
      <c r="T978" s="1754"/>
      <c r="U978" s="1754"/>
      <c r="V978" s="1754"/>
      <c r="W978" s="1754"/>
      <c r="X978" s="1754"/>
      <c r="Y978" s="1754"/>
      <c r="Z978" s="1754"/>
      <c r="AA978" s="1754"/>
      <c r="AB978" s="1754"/>
      <c r="AC978" s="1754"/>
      <c r="AD978" s="1754"/>
      <c r="AE978" s="1755"/>
      <c r="AF978" s="79"/>
      <c r="AG978" s="1765" t="s">
        <v>679</v>
      </c>
      <c r="AH978" s="1766"/>
      <c r="AI978" s="79"/>
      <c r="AJ978" s="1772">
        <f>ROUND(IF(AG978="yes",AJ961*0.02,0),0)</f>
        <v>0</v>
      </c>
      <c r="AK978" s="1773"/>
      <c r="AL978" s="1773"/>
      <c r="AM978" s="1773"/>
      <c r="AN978" s="1773"/>
      <c r="AO978" s="1773"/>
      <c r="AP978" s="1773"/>
      <c r="AQ978" s="1774"/>
      <c r="AR978" s="68"/>
      <c r="AS978" s="68"/>
      <c r="AT978" s="68"/>
      <c r="AU978" s="68"/>
      <c r="AV978" s="68"/>
      <c r="AW978" s="68"/>
      <c r="AX978" s="68"/>
      <c r="AY978" s="68"/>
    </row>
    <row r="979" spans="1:58" ht="12.9" customHeight="1">
      <c r="A979" s="14"/>
      <c r="B979" s="73"/>
      <c r="C979" s="74"/>
      <c r="D979" s="1756" t="s">
        <v>1453</v>
      </c>
      <c r="E979" s="1757"/>
      <c r="F979" s="1757"/>
      <c r="G979" s="1757"/>
      <c r="H979" s="1757"/>
      <c r="I979" s="1757"/>
      <c r="J979" s="1757"/>
      <c r="K979" s="1757"/>
      <c r="L979" s="1757"/>
      <c r="M979" s="1757"/>
      <c r="N979" s="1757"/>
      <c r="O979" s="1757"/>
      <c r="P979" s="1757"/>
      <c r="Q979" s="1757"/>
      <c r="R979" s="1757"/>
      <c r="S979" s="1757"/>
      <c r="T979" s="1757"/>
      <c r="U979" s="1757"/>
      <c r="V979" s="1757"/>
      <c r="W979" s="1757"/>
      <c r="X979" s="1757"/>
      <c r="Y979" s="1757"/>
      <c r="Z979" s="1757"/>
      <c r="AA979" s="1757"/>
      <c r="AB979" s="1757"/>
      <c r="AC979" s="1757"/>
      <c r="AD979" s="1757"/>
      <c r="AE979" s="1758"/>
      <c r="AF979" s="73"/>
      <c r="AI979" s="14"/>
      <c r="AJ979" s="1775"/>
      <c r="AK979" s="1776"/>
      <c r="AL979" s="1776"/>
      <c r="AM979" s="1776"/>
      <c r="AN979" s="1776"/>
      <c r="AO979" s="1776"/>
      <c r="AP979" s="1776"/>
      <c r="AQ979" s="1777"/>
      <c r="AR979" s="68"/>
      <c r="AS979" s="68"/>
      <c r="AT979" s="68"/>
      <c r="AU979" s="68"/>
      <c r="AV979" s="68"/>
      <c r="AW979" s="68"/>
      <c r="AX979" s="68"/>
      <c r="AY979" s="68"/>
    </row>
    <row r="980" spans="1:58" ht="12.9" customHeight="1">
      <c r="A980" s="14"/>
      <c r="B980" s="75"/>
      <c r="C980" s="76"/>
      <c r="D980" s="1769"/>
      <c r="E980" s="1770"/>
      <c r="F980" s="1770"/>
      <c r="G980" s="1770"/>
      <c r="H980" s="1770"/>
      <c r="I980" s="1770"/>
      <c r="J980" s="1770"/>
      <c r="K980" s="1770"/>
      <c r="L980" s="1770"/>
      <c r="M980" s="1770"/>
      <c r="N980" s="1770"/>
      <c r="O980" s="1770"/>
      <c r="P980" s="1770"/>
      <c r="Q980" s="1770"/>
      <c r="R980" s="1770"/>
      <c r="S980" s="1770"/>
      <c r="T980" s="1770"/>
      <c r="U980" s="1770"/>
      <c r="V980" s="1770"/>
      <c r="W980" s="1770"/>
      <c r="X980" s="1770"/>
      <c r="Y980" s="1770"/>
      <c r="Z980" s="1770"/>
      <c r="AA980" s="1770"/>
      <c r="AB980" s="1770"/>
      <c r="AC980" s="1770"/>
      <c r="AD980" s="1770"/>
      <c r="AE980" s="1771"/>
      <c r="AF980" s="77"/>
      <c r="AG980" s="7"/>
      <c r="AH980" s="7"/>
      <c r="AI980" s="78"/>
      <c r="AJ980" s="1778"/>
      <c r="AK980" s="1779"/>
      <c r="AL980" s="1779"/>
      <c r="AM980" s="1779"/>
      <c r="AN980" s="1779"/>
      <c r="AO980" s="1779"/>
      <c r="AP980" s="1779"/>
      <c r="AQ980" s="1780"/>
      <c r="AR980" s="68"/>
      <c r="AS980" s="68"/>
      <c r="AT980" s="68"/>
      <c r="AU980" s="68"/>
      <c r="AV980" s="68"/>
      <c r="AW980" s="68"/>
      <c r="AX980" s="68"/>
      <c r="AY980" s="68"/>
    </row>
    <row r="981" spans="1:58" ht="12.9" customHeight="1">
      <c r="A981" s="14"/>
      <c r="B981" s="79"/>
      <c r="C981" s="80" t="s">
        <v>220</v>
      </c>
      <c r="D981" s="1792" t="s">
        <v>1454</v>
      </c>
      <c r="E981" s="1793"/>
      <c r="F981" s="1793"/>
      <c r="G981" s="1793"/>
      <c r="H981" s="1793"/>
      <c r="I981" s="1793"/>
      <c r="J981" s="1793"/>
      <c r="K981" s="1793"/>
      <c r="L981" s="1793"/>
      <c r="M981" s="1793"/>
      <c r="N981" s="1793"/>
      <c r="O981" s="1793"/>
      <c r="P981" s="1793"/>
      <c r="Q981" s="1793"/>
      <c r="R981" s="1793"/>
      <c r="S981" s="1793"/>
      <c r="T981" s="1793"/>
      <c r="U981" s="1793"/>
      <c r="V981" s="1793"/>
      <c r="W981" s="1793"/>
      <c r="X981" s="1793"/>
      <c r="Y981" s="1793"/>
      <c r="Z981" s="1793"/>
      <c r="AA981" s="1793"/>
      <c r="AB981" s="1793"/>
      <c r="AC981" s="1793"/>
      <c r="AD981" s="1793"/>
      <c r="AE981" s="1794"/>
      <c r="AF981" s="79"/>
      <c r="AG981" s="1765" t="s">
        <v>679</v>
      </c>
      <c r="AH981" s="1766"/>
      <c r="AI981" s="87"/>
      <c r="AJ981" s="1772">
        <f>IF(AG981="yes",AJ961*BA981,0)</f>
        <v>0</v>
      </c>
      <c r="AK981" s="1773"/>
      <c r="AL981" s="1773"/>
      <c r="AM981" s="1773"/>
      <c r="AN981" s="1773"/>
      <c r="AO981" s="1773"/>
      <c r="AP981" s="1773"/>
      <c r="AQ981" s="1774"/>
      <c r="AR981" s="68"/>
      <c r="AS981" s="68"/>
      <c r="AT981" s="68"/>
      <c r="AU981" s="68"/>
      <c r="AV981" s="68"/>
      <c r="AW981" s="68"/>
      <c r="AX981" s="68"/>
      <c r="AY981" s="68"/>
      <c r="BA981" s="215">
        <f>IF(SUM(BA983:BA991)&lt;=0.1,SUM(BA983:BA991),0.1)</f>
        <v>0</v>
      </c>
    </row>
    <row r="982" spans="1:58" ht="12.9" customHeight="1">
      <c r="A982" s="14"/>
      <c r="B982" s="73"/>
      <c r="C982" s="74"/>
      <c r="D982" s="1756" t="s">
        <v>1455</v>
      </c>
      <c r="E982" s="1757"/>
      <c r="F982" s="1757"/>
      <c r="G982" s="1757"/>
      <c r="H982" s="1757"/>
      <c r="I982" s="1757"/>
      <c r="J982" s="1757"/>
      <c r="K982" s="1757"/>
      <c r="L982" s="1757"/>
      <c r="M982" s="1757"/>
      <c r="N982" s="1757"/>
      <c r="O982" s="1757"/>
      <c r="P982" s="1757"/>
      <c r="Q982" s="1757"/>
      <c r="R982" s="1757"/>
      <c r="S982" s="1757"/>
      <c r="T982" s="1757"/>
      <c r="U982" s="1757"/>
      <c r="V982" s="1757"/>
      <c r="W982" s="1757"/>
      <c r="X982" s="1757"/>
      <c r="Y982" s="1757"/>
      <c r="Z982" s="1757"/>
      <c r="AA982" s="1757"/>
      <c r="AB982" s="1757"/>
      <c r="AC982" s="1757"/>
      <c r="AD982" s="1757"/>
      <c r="AE982" s="1758"/>
      <c r="AF982" s="73"/>
      <c r="AG982" s="14"/>
      <c r="AH982" s="14"/>
      <c r="AI982" s="83"/>
      <c r="AJ982" s="1775"/>
      <c r="AK982" s="1776"/>
      <c r="AL982" s="1776"/>
      <c r="AM982" s="1776"/>
      <c r="AN982" s="1776"/>
      <c r="AO982" s="1776"/>
      <c r="AP982" s="1776"/>
      <c r="AQ982" s="1777"/>
      <c r="AR982" s="68"/>
      <c r="AS982" s="68"/>
      <c r="AT982" s="68"/>
      <c r="AU982" s="68"/>
      <c r="AV982" s="68"/>
      <c r="AW982" s="68"/>
      <c r="AX982" s="68"/>
      <c r="AY982" s="68"/>
    </row>
    <row r="983" spans="1:58" ht="12.9" customHeight="1">
      <c r="A983" s="14"/>
      <c r="B983" s="73"/>
      <c r="C983" s="74"/>
      <c r="D983" s="1756"/>
      <c r="E983" s="1757"/>
      <c r="F983" s="1757"/>
      <c r="G983" s="1757"/>
      <c r="H983" s="1757"/>
      <c r="I983" s="1757"/>
      <c r="J983" s="1757"/>
      <c r="K983" s="1757"/>
      <c r="L983" s="1757"/>
      <c r="M983" s="1757"/>
      <c r="N983" s="1757"/>
      <c r="O983" s="1757"/>
      <c r="P983" s="1757"/>
      <c r="Q983" s="1757"/>
      <c r="R983" s="1757"/>
      <c r="S983" s="1757"/>
      <c r="T983" s="1757"/>
      <c r="U983" s="1757"/>
      <c r="V983" s="1757"/>
      <c r="W983" s="1757"/>
      <c r="X983" s="1757"/>
      <c r="Y983" s="1757"/>
      <c r="Z983" s="1757"/>
      <c r="AA983" s="1757"/>
      <c r="AB983" s="1757"/>
      <c r="AC983" s="1757"/>
      <c r="AD983" s="1757"/>
      <c r="AE983" s="1758"/>
      <c r="AF983" s="73"/>
      <c r="AG983" s="14"/>
      <c r="AH983" s="14"/>
      <c r="AI983" s="83"/>
      <c r="AJ983" s="1775"/>
      <c r="AK983" s="1776"/>
      <c r="AL983" s="1776"/>
      <c r="AM983" s="1776"/>
      <c r="AN983" s="1776"/>
      <c r="AO983" s="1776"/>
      <c r="AP983" s="1776"/>
      <c r="AQ983" s="1777"/>
      <c r="AR983" s="68"/>
      <c r="AS983" s="68"/>
      <c r="AT983" s="68"/>
      <c r="AU983" s="68"/>
      <c r="AV983" s="68"/>
      <c r="AW983" s="68"/>
      <c r="AX983" s="68"/>
      <c r="AY983" s="68"/>
      <c r="BA983" s="213">
        <f>IF(A1030="Yes",0.05,0)</f>
        <v>0</v>
      </c>
    </row>
    <row r="984" spans="1:58" ht="12.9" customHeight="1">
      <c r="A984" s="14"/>
      <c r="B984" s="81"/>
      <c r="C984" s="82"/>
      <c r="D984" s="1769"/>
      <c r="E984" s="1770"/>
      <c r="F984" s="1770"/>
      <c r="G984" s="1770"/>
      <c r="H984" s="1770"/>
      <c r="I984" s="1770"/>
      <c r="J984" s="1770"/>
      <c r="K984" s="1770"/>
      <c r="L984" s="1770"/>
      <c r="M984" s="1770"/>
      <c r="N984" s="1770"/>
      <c r="O984" s="1770"/>
      <c r="P984" s="1770"/>
      <c r="Q984" s="1770"/>
      <c r="R984" s="1770"/>
      <c r="S984" s="1770"/>
      <c r="T984" s="1770"/>
      <c r="U984" s="1770"/>
      <c r="V984" s="1770"/>
      <c r="W984" s="1770"/>
      <c r="X984" s="1770"/>
      <c r="Y984" s="1770"/>
      <c r="Z984" s="1770"/>
      <c r="AA984" s="1770"/>
      <c r="AB984" s="1770"/>
      <c r="AC984" s="1770"/>
      <c r="AD984" s="1770"/>
      <c r="AE984" s="1771"/>
      <c r="AF984" s="77"/>
      <c r="AG984" s="7"/>
      <c r="AH984" s="7"/>
      <c r="AI984" s="78"/>
      <c r="AJ984" s="1778"/>
      <c r="AK984" s="1779"/>
      <c r="AL984" s="1779"/>
      <c r="AM984" s="1779"/>
      <c r="AN984" s="1779"/>
      <c r="AO984" s="1779"/>
      <c r="AP984" s="1779"/>
      <c r="AQ984" s="1780"/>
      <c r="AR984" s="68"/>
      <c r="AS984" s="68"/>
      <c r="AT984" s="68"/>
      <c r="AU984" s="68"/>
      <c r="AV984" s="68"/>
      <c r="AW984" s="68"/>
      <c r="AX984" s="68"/>
      <c r="AY984" s="68"/>
      <c r="BA984" s="213">
        <f>IF(A1036="Yes",0.02,0)</f>
        <v>0</v>
      </c>
    </row>
    <row r="985" spans="1:58" ht="12.9" customHeight="1">
      <c r="A985" s="14"/>
      <c r="B985" s="79"/>
      <c r="C985" s="80" t="s">
        <v>225</v>
      </c>
      <c r="D985" s="1822" t="s">
        <v>1456</v>
      </c>
      <c r="E985" s="1823"/>
      <c r="F985" s="1823"/>
      <c r="G985" s="1823"/>
      <c r="H985" s="1823"/>
      <c r="I985" s="1823"/>
      <c r="J985" s="1823"/>
      <c r="K985" s="1823"/>
      <c r="L985" s="1823"/>
      <c r="M985" s="1823"/>
      <c r="N985" s="1823"/>
      <c r="O985" s="1823"/>
      <c r="P985" s="1823"/>
      <c r="Q985" s="1823"/>
      <c r="R985" s="1823"/>
      <c r="S985" s="1823"/>
      <c r="T985" s="1823"/>
      <c r="U985" s="1823"/>
      <c r="V985" s="1823"/>
      <c r="W985" s="1823"/>
      <c r="X985" s="1823"/>
      <c r="Y985" s="1823"/>
      <c r="Z985" s="1823"/>
      <c r="AA985" s="1823"/>
      <c r="AB985" s="1823"/>
      <c r="AC985" s="1823"/>
      <c r="AD985" s="1823"/>
      <c r="AE985" s="1824"/>
      <c r="AF985" s="79"/>
      <c r="AG985" s="1765" t="s">
        <v>679</v>
      </c>
      <c r="AH985" s="1766"/>
      <c r="AI985" s="87"/>
      <c r="AJ985" s="1772">
        <f>ROUND(IF(AG985="Yes",MIN(AF988,(0.15*AJ961)),0),0)</f>
        <v>0</v>
      </c>
      <c r="AK985" s="1773"/>
      <c r="AL985" s="1773"/>
      <c r="AM985" s="1773"/>
      <c r="AN985" s="1773"/>
      <c r="AO985" s="1773"/>
      <c r="AP985" s="1773"/>
      <c r="AQ985" s="1774"/>
      <c r="AR985" s="68"/>
      <c r="AS985" s="68"/>
      <c r="AT985" s="68"/>
      <c r="AU985" s="68"/>
      <c r="AV985" s="68"/>
      <c r="AW985" s="68"/>
      <c r="AX985" s="68"/>
      <c r="AY985" s="68"/>
      <c r="BA985" s="213">
        <f>IF(A1042="Yes",0.04,0)</f>
        <v>0</v>
      </c>
    </row>
    <row r="986" spans="1:58" ht="12.9" customHeight="1">
      <c r="A986" s="14"/>
      <c r="B986" s="81"/>
      <c r="C986" s="84"/>
      <c r="D986" s="1825"/>
      <c r="E986" s="1826"/>
      <c r="F986" s="1826"/>
      <c r="G986" s="1826"/>
      <c r="H986" s="1826"/>
      <c r="I986" s="1826"/>
      <c r="J986" s="1826"/>
      <c r="K986" s="1826"/>
      <c r="L986" s="1826"/>
      <c r="M986" s="1826"/>
      <c r="N986" s="1826"/>
      <c r="O986" s="1826"/>
      <c r="P986" s="1826"/>
      <c r="Q986" s="1826"/>
      <c r="R986" s="1826"/>
      <c r="S986" s="1826"/>
      <c r="T986" s="1826"/>
      <c r="U986" s="1826"/>
      <c r="V986" s="1826"/>
      <c r="W986" s="1826"/>
      <c r="X986" s="1826"/>
      <c r="Y986" s="1826"/>
      <c r="Z986" s="1826"/>
      <c r="AA986" s="1826"/>
      <c r="AB986" s="1826"/>
      <c r="AC986" s="1826"/>
      <c r="AD986" s="1826"/>
      <c r="AE986" s="1827"/>
      <c r="AF986" s="1836" t="str">
        <f>IF(AG985="yes","Please Select Type and Enter Amount:","")</f>
        <v/>
      </c>
      <c r="AG986" s="1837"/>
      <c r="AH986" s="1837"/>
      <c r="AI986" s="1838"/>
      <c r="AJ986" s="1775"/>
      <c r="AK986" s="1776"/>
      <c r="AL986" s="1776"/>
      <c r="AM986" s="1776"/>
      <c r="AN986" s="1776"/>
      <c r="AO986" s="1776"/>
      <c r="AP986" s="1776"/>
      <c r="AQ986" s="1777"/>
      <c r="AR986" s="68"/>
      <c r="AS986" s="68"/>
      <c r="AT986" s="68"/>
      <c r="AU986" s="68"/>
      <c r="AV986" s="68"/>
      <c r="AW986" s="68"/>
      <c r="AX986" s="68"/>
      <c r="AY986" s="68"/>
      <c r="BA986" s="213">
        <f>IF(A1049="Yes",0.04,0)</f>
        <v>0</v>
      </c>
    </row>
    <row r="987" spans="1:58" ht="12.9" customHeight="1">
      <c r="A987" s="14"/>
      <c r="B987" s="81"/>
      <c r="C987" s="84"/>
      <c r="D987" s="1756" t="s">
        <v>1457</v>
      </c>
      <c r="E987" s="1757"/>
      <c r="F987" s="1757"/>
      <c r="G987" s="1757"/>
      <c r="H987" s="1757"/>
      <c r="I987" s="1757"/>
      <c r="J987" s="1757"/>
      <c r="K987" s="1757"/>
      <c r="L987" s="1757"/>
      <c r="M987" s="1757"/>
      <c r="N987" s="1757"/>
      <c r="O987" s="1757"/>
      <c r="P987" s="1757"/>
      <c r="Q987" s="1757"/>
      <c r="R987" s="1757"/>
      <c r="S987" s="1757"/>
      <c r="T987" s="1757"/>
      <c r="U987" s="1757"/>
      <c r="V987" s="1757"/>
      <c r="W987" s="1757"/>
      <c r="X987" s="1757"/>
      <c r="Y987" s="1757"/>
      <c r="Z987" s="1757"/>
      <c r="AA987" s="1757"/>
      <c r="AB987" s="1757"/>
      <c r="AC987" s="1757"/>
      <c r="AD987" s="1757"/>
      <c r="AE987" s="1758"/>
      <c r="AF987" s="1836"/>
      <c r="AG987" s="1837"/>
      <c r="AH987" s="1837"/>
      <c r="AI987" s="1838"/>
      <c r="AJ987" s="1775"/>
      <c r="AK987" s="1776"/>
      <c r="AL987" s="1776"/>
      <c r="AM987" s="1776"/>
      <c r="AN987" s="1776"/>
      <c r="AO987" s="1776"/>
      <c r="AP987" s="1776"/>
      <c r="AQ987" s="1777"/>
      <c r="AR987" s="68"/>
      <c r="AS987" s="68"/>
      <c r="AT987" s="68"/>
      <c r="AU987" s="68"/>
      <c r="AV987" s="68"/>
      <c r="AW987" s="68"/>
      <c r="AX987" s="68"/>
      <c r="AY987" s="68"/>
      <c r="BA987" s="213">
        <f>IF(A1052="Yes",0.01,0)</f>
        <v>0</v>
      </c>
    </row>
    <row r="988" spans="1:58" ht="12.9" customHeight="1">
      <c r="A988" s="14"/>
      <c r="B988" s="81"/>
      <c r="C988" s="84"/>
      <c r="D988" s="1756"/>
      <c r="E988" s="1757"/>
      <c r="F988" s="1757"/>
      <c r="G988" s="1757"/>
      <c r="H988" s="1757"/>
      <c r="I988" s="1757"/>
      <c r="J988" s="1757"/>
      <c r="K988" s="1757"/>
      <c r="L988" s="1757"/>
      <c r="M988" s="1757"/>
      <c r="N988" s="1757"/>
      <c r="O988" s="1757"/>
      <c r="P988" s="1757"/>
      <c r="Q988" s="1757"/>
      <c r="R988" s="1757"/>
      <c r="S988" s="1757"/>
      <c r="T988" s="1757"/>
      <c r="U988" s="1757"/>
      <c r="V988" s="1757"/>
      <c r="W988" s="1757"/>
      <c r="X988" s="1757"/>
      <c r="Y988" s="1757"/>
      <c r="Z988" s="1757"/>
      <c r="AA988" s="1757"/>
      <c r="AB988" s="1757"/>
      <c r="AC988" s="1757"/>
      <c r="AD988" s="1757"/>
      <c r="AE988" s="1758"/>
      <c r="AF988" s="1839"/>
      <c r="AG988" s="1839"/>
      <c r="AH988" s="1839"/>
      <c r="AI988" s="1839"/>
      <c r="AJ988" s="1775"/>
      <c r="AK988" s="1776"/>
      <c r="AL988" s="1776"/>
      <c r="AM988" s="1776"/>
      <c r="AN988" s="1776"/>
      <c r="AO988" s="1776"/>
      <c r="AP988" s="1776"/>
      <c r="AQ988" s="1777"/>
      <c r="AR988" s="68"/>
      <c r="AS988" s="68"/>
      <c r="AT988" s="68"/>
      <c r="AU988" s="68"/>
      <c r="AV988" s="68"/>
      <c r="AW988" s="68"/>
      <c r="AX988" s="68"/>
      <c r="AY988" s="68"/>
      <c r="BA988" s="213">
        <f>IF(A1057="Yes",0.01,0)</f>
        <v>0</v>
      </c>
    </row>
    <row r="989" spans="1:58" ht="12.9" customHeight="1">
      <c r="A989" s="14"/>
      <c r="B989" s="81"/>
      <c r="C989" s="84"/>
      <c r="D989" s="561" t="s">
        <v>361</v>
      </c>
      <c r="E989" s="90"/>
      <c r="F989" s="90"/>
      <c r="G989" s="104"/>
      <c r="H989" s="104"/>
      <c r="I989" s="49"/>
      <c r="J989" s="1844" t="s">
        <v>601</v>
      </c>
      <c r="K989" s="1845"/>
      <c r="L989" s="1845"/>
      <c r="M989" s="1845"/>
      <c r="N989" s="1845"/>
      <c r="O989" s="1845"/>
      <c r="P989" s="1845"/>
      <c r="Q989" s="1845"/>
      <c r="R989" s="1845"/>
      <c r="S989" s="1845"/>
      <c r="T989" s="1845"/>
      <c r="U989" s="1845"/>
      <c r="V989" s="1845"/>
      <c r="W989" s="1845"/>
      <c r="X989" s="1845"/>
      <c r="Y989" s="1845"/>
      <c r="Z989" s="1845"/>
      <c r="AA989" s="1845"/>
      <c r="AB989" s="1845"/>
      <c r="AC989" s="1845"/>
      <c r="AD989" s="1845"/>
      <c r="AE989" s="1846"/>
      <c r="AF989" s="1839"/>
      <c r="AG989" s="1839"/>
      <c r="AH989" s="1839"/>
      <c r="AI989" s="1839"/>
      <c r="AJ989" s="1778"/>
      <c r="AK989" s="1779"/>
      <c r="AL989" s="1779"/>
      <c r="AM989" s="1779"/>
      <c r="AN989" s="1779"/>
      <c r="AO989" s="1779"/>
      <c r="AP989" s="1779"/>
      <c r="AQ989" s="1780"/>
      <c r="AR989" s="68"/>
      <c r="AS989" s="68"/>
      <c r="AT989" s="68"/>
      <c r="AU989" s="68"/>
      <c r="AV989" s="68"/>
      <c r="AW989" s="68"/>
      <c r="AX989" s="68"/>
      <c r="AY989" s="68"/>
      <c r="BA989" s="213">
        <f>IF(A1060="Yes",0.01,0)</f>
        <v>0</v>
      </c>
    </row>
    <row r="990" spans="1:58" ht="12.9" customHeight="1">
      <c r="A990" s="14"/>
      <c r="B990" s="79"/>
      <c r="C990" s="80" t="s">
        <v>231</v>
      </c>
      <c r="D990" s="1753" t="s">
        <v>1458</v>
      </c>
      <c r="E990" s="1754"/>
      <c r="F990" s="1754"/>
      <c r="G990" s="1754"/>
      <c r="H990" s="1754"/>
      <c r="I990" s="1754"/>
      <c r="J990" s="1754"/>
      <c r="K990" s="1754"/>
      <c r="L990" s="1754"/>
      <c r="M990" s="1754"/>
      <c r="N990" s="1754"/>
      <c r="O990" s="1754"/>
      <c r="P990" s="1754"/>
      <c r="Q990" s="1754"/>
      <c r="R990" s="1754"/>
      <c r="S990" s="1754"/>
      <c r="T990" s="1754"/>
      <c r="U990" s="1754"/>
      <c r="V990" s="1754"/>
      <c r="W990" s="1754"/>
      <c r="X990" s="1754"/>
      <c r="Y990" s="1754"/>
      <c r="Z990" s="1754"/>
      <c r="AA990" s="1754"/>
      <c r="AB990" s="1754"/>
      <c r="AC990" s="1754"/>
      <c r="AD990" s="1754"/>
      <c r="AE990" s="1755"/>
      <c r="AF990" s="79"/>
      <c r="AG990" s="1765" t="s">
        <v>555</v>
      </c>
      <c r="AH990" s="1766"/>
      <c r="AI990" s="87"/>
      <c r="AJ990" s="1772">
        <f>ROUND(IF(AG990="Yes",AF992,0),0)</f>
        <v>8730343</v>
      </c>
      <c r="AK990" s="1773"/>
      <c r="AL990" s="1773"/>
      <c r="AM990" s="1773"/>
      <c r="AN990" s="1773"/>
      <c r="AO990" s="1773"/>
      <c r="AP990" s="1773"/>
      <c r="AQ990" s="1774"/>
      <c r="AR990" s="68"/>
      <c r="AS990" s="68"/>
      <c r="AT990" s="68"/>
      <c r="AU990" s="68"/>
      <c r="AV990" s="68"/>
      <c r="AW990" s="68"/>
      <c r="AX990" s="68"/>
      <c r="AY990" s="68"/>
      <c r="BA990" s="213">
        <f>IF(A1064="Yes",0.02,0)</f>
        <v>0</v>
      </c>
    </row>
    <row r="991" spans="1:58" ht="12.9" customHeight="1">
      <c r="A991" s="14"/>
      <c r="B991" s="73"/>
      <c r="C991" s="74"/>
      <c r="D991" s="1756" t="s">
        <v>1949</v>
      </c>
      <c r="E991" s="1757"/>
      <c r="F991" s="1757"/>
      <c r="G991" s="1757"/>
      <c r="H991" s="1757"/>
      <c r="I991" s="1757"/>
      <c r="J991" s="1757"/>
      <c r="K991" s="1757"/>
      <c r="L991" s="1757"/>
      <c r="M991" s="1757"/>
      <c r="N991" s="1757"/>
      <c r="O991" s="1757"/>
      <c r="P991" s="1757"/>
      <c r="Q991" s="1757"/>
      <c r="R991" s="1757"/>
      <c r="S991" s="1757"/>
      <c r="T991" s="1757"/>
      <c r="U991" s="1757"/>
      <c r="V991" s="1757"/>
      <c r="W991" s="1757"/>
      <c r="X991" s="1757"/>
      <c r="Y991" s="1757"/>
      <c r="Z991" s="1757"/>
      <c r="AA991" s="1757"/>
      <c r="AB991" s="1757"/>
      <c r="AC991" s="1757"/>
      <c r="AD991" s="1757"/>
      <c r="AE991" s="1758"/>
      <c r="AF991" s="1840" t="str">
        <f>IF(AG990="yes","Enter Amount:","")</f>
        <v>Enter Amount:</v>
      </c>
      <c r="AG991" s="1841"/>
      <c r="AH991" s="1841"/>
      <c r="AI991" s="1842"/>
      <c r="AJ991" s="1775"/>
      <c r="AK991" s="1776"/>
      <c r="AL991" s="1776"/>
      <c r="AM991" s="1776"/>
      <c r="AN991" s="1776"/>
      <c r="AO991" s="1776"/>
      <c r="AP991" s="1776"/>
      <c r="AQ991" s="1777"/>
      <c r="AR991" s="68"/>
      <c r="AS991" s="68"/>
      <c r="AT991" s="68"/>
      <c r="AU991" s="68"/>
      <c r="AV991" s="68"/>
      <c r="AW991" s="68"/>
      <c r="AX991" s="68"/>
      <c r="AY991" s="68"/>
      <c r="BA991" s="214">
        <f>IF(A1068="Yes",0.02,0)</f>
        <v>0</v>
      </c>
    </row>
    <row r="992" spans="1:58" ht="12.9" customHeight="1">
      <c r="A992" s="14"/>
      <c r="B992" s="73"/>
      <c r="C992" s="74"/>
      <c r="D992" s="1756"/>
      <c r="E992" s="1757"/>
      <c r="F992" s="1757"/>
      <c r="G992" s="1757"/>
      <c r="H992" s="1757"/>
      <c r="I992" s="1757"/>
      <c r="J992" s="1757"/>
      <c r="K992" s="1757"/>
      <c r="L992" s="1757"/>
      <c r="M992" s="1757"/>
      <c r="N992" s="1757"/>
      <c r="O992" s="1757"/>
      <c r="P992" s="1757"/>
      <c r="Q992" s="1757"/>
      <c r="R992" s="1757"/>
      <c r="S992" s="1757"/>
      <c r="T992" s="1757"/>
      <c r="U992" s="1757"/>
      <c r="V992" s="1757"/>
      <c r="W992" s="1757"/>
      <c r="X992" s="1757"/>
      <c r="Y992" s="1757"/>
      <c r="Z992" s="1757"/>
      <c r="AA992" s="1757"/>
      <c r="AB992" s="1757"/>
      <c r="AC992" s="1757"/>
      <c r="AD992" s="1757"/>
      <c r="AE992" s="1758"/>
      <c r="AF992" s="1839">
        <v>8730343</v>
      </c>
      <c r="AG992" s="1839"/>
      <c r="AH992" s="1839"/>
      <c r="AI992" s="1839"/>
      <c r="AJ992" s="1775"/>
      <c r="AK992" s="1776"/>
      <c r="AL992" s="1776"/>
      <c r="AM992" s="1776"/>
      <c r="AN992" s="1776"/>
      <c r="AO992" s="1776"/>
      <c r="AP992" s="1776"/>
      <c r="AQ992" s="1777"/>
      <c r="AR992" s="68"/>
      <c r="AS992" s="68"/>
      <c r="AT992" s="68"/>
      <c r="AU992" s="68"/>
      <c r="AV992" s="68"/>
      <c r="AW992" s="68"/>
      <c r="AX992" s="68"/>
      <c r="AY992" s="68"/>
    </row>
    <row r="993" spans="1:51" ht="12.9" customHeight="1">
      <c r="A993" s="14"/>
      <c r="B993" s="85"/>
      <c r="C993" s="84"/>
      <c r="D993" s="1769"/>
      <c r="E993" s="1770"/>
      <c r="F993" s="1770"/>
      <c r="G993" s="1770"/>
      <c r="H993" s="1770"/>
      <c r="I993" s="1770"/>
      <c r="J993" s="1770"/>
      <c r="K993" s="1770"/>
      <c r="L993" s="1770"/>
      <c r="M993" s="1770"/>
      <c r="N993" s="1770"/>
      <c r="O993" s="1770"/>
      <c r="P993" s="1770"/>
      <c r="Q993" s="1770"/>
      <c r="R993" s="1770"/>
      <c r="S993" s="1770"/>
      <c r="T993" s="1770"/>
      <c r="U993" s="1770"/>
      <c r="V993" s="1770"/>
      <c r="W993" s="1770"/>
      <c r="X993" s="1770"/>
      <c r="Y993" s="1770"/>
      <c r="Z993" s="1770"/>
      <c r="AA993" s="1770"/>
      <c r="AB993" s="1770"/>
      <c r="AC993" s="1770"/>
      <c r="AD993" s="1770"/>
      <c r="AE993" s="1771"/>
      <c r="AF993" s="1839"/>
      <c r="AG993" s="1839"/>
      <c r="AH993" s="1839"/>
      <c r="AI993" s="1839"/>
      <c r="AJ993" s="1778"/>
      <c r="AK993" s="1779"/>
      <c r="AL993" s="1779"/>
      <c r="AM993" s="1779"/>
      <c r="AN993" s="1779"/>
      <c r="AO993" s="1779"/>
      <c r="AP993" s="1779"/>
      <c r="AQ993" s="1780"/>
      <c r="AR993" s="68"/>
      <c r="AS993" s="68"/>
      <c r="AT993" s="68"/>
      <c r="AU993" s="68"/>
      <c r="AV993" s="68"/>
      <c r="AW993" s="68"/>
      <c r="AX993" s="68"/>
      <c r="AY993" s="68"/>
    </row>
    <row r="994" spans="1:51" ht="12.9" customHeight="1">
      <c r="A994" s="14"/>
      <c r="B994" s="79"/>
      <c r="C994" s="80" t="s">
        <v>236</v>
      </c>
      <c r="D994" s="1792" t="s">
        <v>1459</v>
      </c>
      <c r="E994" s="1793"/>
      <c r="F994" s="1793"/>
      <c r="G994" s="1793"/>
      <c r="H994" s="1793"/>
      <c r="I994" s="1793"/>
      <c r="J994" s="1793"/>
      <c r="K994" s="1793"/>
      <c r="L994" s="1793"/>
      <c r="M994" s="1793"/>
      <c r="N994" s="1793"/>
      <c r="O994" s="1793"/>
      <c r="P994" s="1793"/>
      <c r="Q994" s="1793"/>
      <c r="R994" s="1793"/>
      <c r="S994" s="1793"/>
      <c r="T994" s="1793"/>
      <c r="U994" s="1793"/>
      <c r="V994" s="1793"/>
      <c r="W994" s="1793"/>
      <c r="X994" s="1793"/>
      <c r="Y994" s="1793"/>
      <c r="Z994" s="1793"/>
      <c r="AA994" s="1793"/>
      <c r="AB994" s="1793"/>
      <c r="AC994" s="1793"/>
      <c r="AD994" s="1793"/>
      <c r="AE994" s="1794"/>
      <c r="AF994" s="79"/>
      <c r="AG994" s="1765" t="s">
        <v>555</v>
      </c>
      <c r="AH994" s="1766"/>
      <c r="AI994" s="87"/>
      <c r="AJ994" s="1772">
        <f>ROUND(IF(AG994="yes",(AJ961*0.1),0),0)</f>
        <v>11142629</v>
      </c>
      <c r="AK994" s="1773"/>
      <c r="AL994" s="1773"/>
      <c r="AM994" s="1773"/>
      <c r="AN994" s="1773"/>
      <c r="AO994" s="1773"/>
      <c r="AP994" s="1773"/>
      <c r="AQ994" s="1774"/>
      <c r="AR994" s="68"/>
      <c r="AS994" s="68"/>
      <c r="AT994" s="68"/>
      <c r="AU994" s="68"/>
      <c r="AV994" s="68"/>
      <c r="AW994" s="68"/>
      <c r="AX994" s="68"/>
      <c r="AY994" s="68"/>
    </row>
    <row r="995" spans="1:51" ht="12.9" customHeight="1">
      <c r="A995" s="14"/>
      <c r="B995" s="73"/>
      <c r="C995" s="74"/>
      <c r="D995" s="1756" t="s">
        <v>1460</v>
      </c>
      <c r="E995" s="1757"/>
      <c r="F995" s="1757"/>
      <c r="G995" s="1757"/>
      <c r="H995" s="1757"/>
      <c r="I995" s="1757"/>
      <c r="J995" s="1757"/>
      <c r="K995" s="1757"/>
      <c r="L995" s="1757"/>
      <c r="M995" s="1757"/>
      <c r="N995" s="1757"/>
      <c r="O995" s="1757"/>
      <c r="P995" s="1757"/>
      <c r="Q995" s="1757"/>
      <c r="R995" s="1757"/>
      <c r="S995" s="1757"/>
      <c r="T995" s="1757"/>
      <c r="U995" s="1757"/>
      <c r="V995" s="1757"/>
      <c r="W995" s="1757"/>
      <c r="X995" s="1757"/>
      <c r="Y995" s="1757"/>
      <c r="Z995" s="1757"/>
      <c r="AA995" s="1757"/>
      <c r="AB995" s="1757"/>
      <c r="AC995" s="1757"/>
      <c r="AD995" s="1757"/>
      <c r="AE995" s="1758"/>
      <c r="AF995" s="73"/>
      <c r="AG995" s="14"/>
      <c r="AH995" s="14"/>
      <c r="AI995" s="83"/>
      <c r="AJ995" s="1775"/>
      <c r="AK995" s="1776"/>
      <c r="AL995" s="1776"/>
      <c r="AM995" s="1776"/>
      <c r="AN995" s="1776"/>
      <c r="AO995" s="1776"/>
      <c r="AP995" s="1776"/>
      <c r="AQ995" s="1777"/>
      <c r="AR995" s="68"/>
      <c r="AS995" s="68"/>
      <c r="AT995" s="68"/>
      <c r="AU995" s="68"/>
      <c r="AV995" s="68"/>
      <c r="AW995" s="68"/>
      <c r="AX995" s="68"/>
      <c r="AY995" s="68"/>
    </row>
    <row r="996" spans="1:51" ht="12.9" customHeight="1">
      <c r="A996" s="14"/>
      <c r="B996" s="77"/>
      <c r="C996" s="74"/>
      <c r="D996" s="1769"/>
      <c r="E996" s="1770"/>
      <c r="F996" s="1770"/>
      <c r="G996" s="1770"/>
      <c r="H996" s="1770"/>
      <c r="I996" s="1770"/>
      <c r="J996" s="1770"/>
      <c r="K996" s="1770"/>
      <c r="L996" s="1770"/>
      <c r="M996" s="1770"/>
      <c r="N996" s="1770"/>
      <c r="O996" s="1770"/>
      <c r="P996" s="1770"/>
      <c r="Q996" s="1770"/>
      <c r="R996" s="1770"/>
      <c r="S996" s="1770"/>
      <c r="T996" s="1770"/>
      <c r="U996" s="1770"/>
      <c r="V996" s="1770"/>
      <c r="W996" s="1770"/>
      <c r="X996" s="1770"/>
      <c r="Y996" s="1770"/>
      <c r="Z996" s="1770"/>
      <c r="AA996" s="1770"/>
      <c r="AB996" s="1770"/>
      <c r="AC996" s="1770"/>
      <c r="AD996" s="1770"/>
      <c r="AE996" s="1771"/>
      <c r="AF996" s="73"/>
      <c r="AG996" s="14"/>
      <c r="AH996" s="14"/>
      <c r="AI996" s="83"/>
      <c r="AJ996" s="1778"/>
      <c r="AK996" s="1779"/>
      <c r="AL996" s="1779"/>
      <c r="AM996" s="1779"/>
      <c r="AN996" s="1779"/>
      <c r="AO996" s="1779"/>
      <c r="AP996" s="1779"/>
      <c r="AQ996" s="1780"/>
      <c r="AR996" s="68"/>
      <c r="AS996" s="68"/>
      <c r="AT996" s="68"/>
      <c r="AU996" s="68"/>
      <c r="AV996" s="68"/>
      <c r="AW996" s="68"/>
      <c r="AX996" s="68"/>
      <c r="AY996" s="68"/>
    </row>
    <row r="997" spans="1:51" ht="12.9" customHeight="1">
      <c r="A997" s="14"/>
      <c r="B997" s="73"/>
      <c r="C997" s="368" t="s">
        <v>698</v>
      </c>
      <c r="D997" s="1753" t="s">
        <v>1945</v>
      </c>
      <c r="E997" s="1754"/>
      <c r="F997" s="1754"/>
      <c r="G997" s="1754"/>
      <c r="H997" s="1754"/>
      <c r="I997" s="1754"/>
      <c r="J997" s="1754"/>
      <c r="K997" s="1754"/>
      <c r="L997" s="1754"/>
      <c r="M997" s="1754"/>
      <c r="N997" s="1754"/>
      <c r="O997" s="1754"/>
      <c r="P997" s="1754"/>
      <c r="Q997" s="1754"/>
      <c r="R997" s="1754"/>
      <c r="S997" s="1754"/>
      <c r="T997" s="1754"/>
      <c r="U997" s="1754"/>
      <c r="V997" s="1754"/>
      <c r="W997" s="1754"/>
      <c r="X997" s="1754"/>
      <c r="Y997" s="1754"/>
      <c r="Z997" s="1754"/>
      <c r="AA997" s="1754"/>
      <c r="AB997" s="1754"/>
      <c r="AC997" s="1754"/>
      <c r="AD997" s="1754"/>
      <c r="AE997" s="1755"/>
      <c r="AF997" s="79"/>
      <c r="AG997" s="1765" t="s">
        <v>679</v>
      </c>
      <c r="AH997" s="1766"/>
      <c r="AI997" s="87"/>
      <c r="AJ997" s="1772">
        <f>ROUND(IF(AG997="yes",(AJ961*0.15),0),0)</f>
        <v>0</v>
      </c>
      <c r="AK997" s="1773"/>
      <c r="AL997" s="1773"/>
      <c r="AM997" s="1773"/>
      <c r="AN997" s="1773"/>
      <c r="AO997" s="1773"/>
      <c r="AP997" s="1773"/>
      <c r="AQ997" s="1774"/>
      <c r="AR997" s="68"/>
      <c r="AS997" s="68"/>
      <c r="AT997" s="68"/>
      <c r="AU997" s="68"/>
      <c r="AV997" s="68"/>
      <c r="AW997" s="68"/>
      <c r="AX997" s="68"/>
      <c r="AY997" s="68"/>
    </row>
    <row r="998" spans="1:51" ht="12.9" customHeight="1">
      <c r="A998" s="14"/>
      <c r="B998" s="73"/>
      <c r="C998" s="74"/>
      <c r="D998" s="1784" t="s">
        <v>1946</v>
      </c>
      <c r="E998" s="1267"/>
      <c r="F998" s="1267"/>
      <c r="G998" s="1267"/>
      <c r="H998" s="1267"/>
      <c r="I998" s="1267"/>
      <c r="J998" s="1267"/>
      <c r="K998" s="1267"/>
      <c r="L998" s="1267"/>
      <c r="M998" s="1267"/>
      <c r="N998" s="1267"/>
      <c r="O998" s="1267"/>
      <c r="P998" s="1267"/>
      <c r="Q998" s="1267"/>
      <c r="R998" s="1267"/>
      <c r="S998" s="1267"/>
      <c r="T998" s="1267"/>
      <c r="U998" s="1267"/>
      <c r="V998" s="1267"/>
      <c r="W998" s="1267"/>
      <c r="X998" s="1267"/>
      <c r="Y998" s="1267"/>
      <c r="Z998" s="1267"/>
      <c r="AA998" s="1267"/>
      <c r="AB998" s="1267"/>
      <c r="AC998" s="1267"/>
      <c r="AD998" s="1267"/>
      <c r="AE998" s="1785"/>
      <c r="AF998" s="952"/>
      <c r="AG998" s="953"/>
      <c r="AH998" s="953"/>
      <c r="AI998" s="954"/>
      <c r="AJ998" s="1775"/>
      <c r="AK998" s="1776"/>
      <c r="AL998" s="1776"/>
      <c r="AM998" s="1776"/>
      <c r="AN998" s="1776"/>
      <c r="AO998" s="1776"/>
      <c r="AP998" s="1776"/>
      <c r="AQ998" s="1777"/>
      <c r="AR998" s="68"/>
      <c r="AS998" s="68"/>
      <c r="AT998" s="68"/>
      <c r="AU998" s="68"/>
      <c r="AV998" s="68"/>
      <c r="AW998" s="68"/>
      <c r="AX998" s="68"/>
      <c r="AY998" s="68"/>
    </row>
    <row r="999" spans="1:51" ht="12.9" customHeight="1">
      <c r="A999" s="14"/>
      <c r="B999" s="73"/>
      <c r="C999" s="74"/>
      <c r="D999" s="1784"/>
      <c r="E999" s="1267"/>
      <c r="F999" s="1267"/>
      <c r="G999" s="1267"/>
      <c r="H999" s="1267"/>
      <c r="I999" s="1267"/>
      <c r="J999" s="1267"/>
      <c r="K999" s="1267"/>
      <c r="L999" s="1267"/>
      <c r="M999" s="1267"/>
      <c r="N999" s="1267"/>
      <c r="O999" s="1267"/>
      <c r="P999" s="1267"/>
      <c r="Q999" s="1267"/>
      <c r="R999" s="1267"/>
      <c r="S999" s="1267"/>
      <c r="T999" s="1267"/>
      <c r="U999" s="1267"/>
      <c r="V999" s="1267"/>
      <c r="W999" s="1267"/>
      <c r="X999" s="1267"/>
      <c r="Y999" s="1267"/>
      <c r="Z999" s="1267"/>
      <c r="AA999" s="1267"/>
      <c r="AB999" s="1267"/>
      <c r="AC999" s="1267"/>
      <c r="AD999" s="1267"/>
      <c r="AE999" s="1785"/>
      <c r="AF999" s="952"/>
      <c r="AG999" s="953"/>
      <c r="AH999" s="953"/>
      <c r="AI999" s="954"/>
      <c r="AJ999" s="1775"/>
      <c r="AK999" s="1776"/>
      <c r="AL999" s="1776"/>
      <c r="AM999" s="1776"/>
      <c r="AN999" s="1776"/>
      <c r="AO999" s="1776"/>
      <c r="AP999" s="1776"/>
      <c r="AQ999" s="1777"/>
      <c r="AR999" s="68"/>
      <c r="AS999" s="68"/>
      <c r="AT999" s="68"/>
      <c r="AU999" s="68"/>
      <c r="AV999" s="68"/>
      <c r="AW999" s="68"/>
      <c r="AX999" s="68"/>
      <c r="AY999" s="68"/>
    </row>
    <row r="1000" spans="1:51" ht="12.9" customHeight="1">
      <c r="A1000" s="14"/>
      <c r="B1000" s="73"/>
      <c r="C1000" s="74"/>
      <c r="D1000" s="1786"/>
      <c r="E1000" s="1787"/>
      <c r="F1000" s="1787"/>
      <c r="G1000" s="1787"/>
      <c r="H1000" s="1787"/>
      <c r="I1000" s="1787"/>
      <c r="J1000" s="1787"/>
      <c r="K1000" s="1787"/>
      <c r="L1000" s="1787"/>
      <c r="M1000" s="1787"/>
      <c r="N1000" s="1787"/>
      <c r="O1000" s="1787"/>
      <c r="P1000" s="1787"/>
      <c r="Q1000" s="1787"/>
      <c r="R1000" s="1787"/>
      <c r="S1000" s="1787"/>
      <c r="T1000" s="1787"/>
      <c r="U1000" s="1787"/>
      <c r="V1000" s="1787"/>
      <c r="W1000" s="1787"/>
      <c r="X1000" s="1787"/>
      <c r="Y1000" s="1787"/>
      <c r="Z1000" s="1787"/>
      <c r="AA1000" s="1787"/>
      <c r="AB1000" s="1787"/>
      <c r="AC1000" s="1787"/>
      <c r="AD1000" s="1787"/>
      <c r="AE1000" s="1788"/>
      <c r="AF1000" s="955"/>
      <c r="AG1000" s="956"/>
      <c r="AH1000" s="956"/>
      <c r="AI1000" s="957"/>
      <c r="AJ1000" s="1778"/>
      <c r="AK1000" s="1779"/>
      <c r="AL1000" s="1779"/>
      <c r="AM1000" s="1779"/>
      <c r="AN1000" s="1779"/>
      <c r="AO1000" s="1779"/>
      <c r="AP1000" s="1779"/>
      <c r="AQ1000" s="1780"/>
      <c r="AR1000" s="68"/>
      <c r="AS1000" s="68"/>
      <c r="AT1000" s="68"/>
      <c r="AU1000" s="68"/>
      <c r="AV1000" s="68"/>
      <c r="AW1000" s="68"/>
      <c r="AX1000" s="68"/>
      <c r="AY1000" s="68"/>
    </row>
    <row r="1001" spans="1:51" ht="12.9" customHeight="1">
      <c r="A1001" s="14"/>
      <c r="B1001" s="73"/>
      <c r="C1001" s="368" t="s">
        <v>698</v>
      </c>
      <c r="D1001" s="1792" t="s">
        <v>1947</v>
      </c>
      <c r="E1001" s="1793"/>
      <c r="F1001" s="1793"/>
      <c r="G1001" s="1793"/>
      <c r="H1001" s="1793"/>
      <c r="I1001" s="1793"/>
      <c r="J1001" s="1793"/>
      <c r="K1001" s="1793"/>
      <c r="L1001" s="1793"/>
      <c r="M1001" s="1793"/>
      <c r="N1001" s="1793"/>
      <c r="O1001" s="1793"/>
      <c r="P1001" s="1793"/>
      <c r="Q1001" s="1793"/>
      <c r="R1001" s="1793"/>
      <c r="S1001" s="1793"/>
      <c r="T1001" s="1793"/>
      <c r="U1001" s="1793"/>
      <c r="V1001" s="1793"/>
      <c r="W1001" s="1793"/>
      <c r="X1001" s="1793"/>
      <c r="Y1001" s="1793"/>
      <c r="Z1001" s="1793"/>
      <c r="AA1001" s="1793"/>
      <c r="AB1001" s="1793"/>
      <c r="AC1001" s="1793"/>
      <c r="AD1001" s="1793"/>
      <c r="AE1001" s="1794"/>
      <c r="AF1001" s="73"/>
      <c r="AG1001" s="1767" t="s">
        <v>679</v>
      </c>
      <c r="AH1001" s="1768"/>
      <c r="AI1001" s="83"/>
      <c r="AJ1001" s="1772">
        <f>ROUND(IF(AND(AG1001="yes",AJ997=0),(AJ961*0.1),0),0)</f>
        <v>0</v>
      </c>
      <c r="AK1001" s="1773"/>
      <c r="AL1001" s="1773"/>
      <c r="AM1001" s="1773"/>
      <c r="AN1001" s="1773"/>
      <c r="AO1001" s="1773"/>
      <c r="AP1001" s="1773"/>
      <c r="AQ1001" s="1774"/>
      <c r="AR1001" s="68"/>
      <c r="AS1001" s="68"/>
      <c r="AT1001" s="68"/>
      <c r="AU1001" s="68"/>
      <c r="AV1001" s="68"/>
      <c r="AW1001" s="68"/>
      <c r="AX1001" s="68"/>
      <c r="AY1001" s="68"/>
    </row>
    <row r="1002" spans="1:51" ht="12.9" customHeight="1">
      <c r="A1002" s="14"/>
      <c r="B1002" s="73"/>
      <c r="C1002" s="74"/>
      <c r="D1002" s="1784" t="s">
        <v>1948</v>
      </c>
      <c r="E1002" s="1267"/>
      <c r="F1002" s="1267"/>
      <c r="G1002" s="1267"/>
      <c r="H1002" s="1267"/>
      <c r="I1002" s="1267"/>
      <c r="J1002" s="1267"/>
      <c r="K1002" s="1267"/>
      <c r="L1002" s="1267"/>
      <c r="M1002" s="1267"/>
      <c r="N1002" s="1267"/>
      <c r="O1002" s="1267"/>
      <c r="P1002" s="1267"/>
      <c r="Q1002" s="1267"/>
      <c r="R1002" s="1267"/>
      <c r="S1002" s="1267"/>
      <c r="T1002" s="1267"/>
      <c r="U1002" s="1267"/>
      <c r="V1002" s="1267"/>
      <c r="W1002" s="1267"/>
      <c r="X1002" s="1267"/>
      <c r="Y1002" s="1267"/>
      <c r="Z1002" s="1267"/>
      <c r="AA1002" s="1267"/>
      <c r="AB1002" s="1267"/>
      <c r="AC1002" s="1267"/>
      <c r="AD1002" s="1267"/>
      <c r="AE1002" s="1785"/>
      <c r="AF1002" s="73"/>
      <c r="AG1002" s="14"/>
      <c r="AH1002" s="14"/>
      <c r="AI1002" s="83"/>
      <c r="AJ1002" s="1775"/>
      <c r="AK1002" s="1776"/>
      <c r="AL1002" s="1776"/>
      <c r="AM1002" s="1776"/>
      <c r="AN1002" s="1776"/>
      <c r="AO1002" s="1776"/>
      <c r="AP1002" s="1776"/>
      <c r="AQ1002" s="1777"/>
      <c r="AR1002" s="68"/>
      <c r="AS1002" s="68"/>
      <c r="AT1002" s="68"/>
      <c r="AU1002" s="68"/>
      <c r="AV1002" s="68"/>
      <c r="AW1002" s="68"/>
      <c r="AX1002" s="68"/>
      <c r="AY1002" s="68"/>
    </row>
    <row r="1003" spans="1:51" ht="12.9" customHeight="1">
      <c r="A1003" s="14"/>
      <c r="B1003" s="73"/>
      <c r="C1003" s="74"/>
      <c r="D1003" s="1784"/>
      <c r="E1003" s="1267"/>
      <c r="F1003" s="1267"/>
      <c r="G1003" s="1267"/>
      <c r="H1003" s="1267"/>
      <c r="I1003" s="1267"/>
      <c r="J1003" s="1267"/>
      <c r="K1003" s="1267"/>
      <c r="L1003" s="1267"/>
      <c r="M1003" s="1267"/>
      <c r="N1003" s="1267"/>
      <c r="O1003" s="1267"/>
      <c r="P1003" s="1267"/>
      <c r="Q1003" s="1267"/>
      <c r="R1003" s="1267"/>
      <c r="S1003" s="1267"/>
      <c r="T1003" s="1267"/>
      <c r="U1003" s="1267"/>
      <c r="V1003" s="1267"/>
      <c r="W1003" s="1267"/>
      <c r="X1003" s="1267"/>
      <c r="Y1003" s="1267"/>
      <c r="Z1003" s="1267"/>
      <c r="AA1003" s="1267"/>
      <c r="AB1003" s="1267"/>
      <c r="AC1003" s="1267"/>
      <c r="AD1003" s="1267"/>
      <c r="AE1003" s="1785"/>
      <c r="AF1003" s="73"/>
      <c r="AG1003" s="14"/>
      <c r="AH1003" s="14"/>
      <c r="AI1003" s="83"/>
      <c r="AJ1003" s="1775"/>
      <c r="AK1003" s="1776"/>
      <c r="AL1003" s="1776"/>
      <c r="AM1003" s="1776"/>
      <c r="AN1003" s="1776"/>
      <c r="AO1003" s="1776"/>
      <c r="AP1003" s="1776"/>
      <c r="AQ1003" s="1777"/>
      <c r="AR1003" s="68"/>
      <c r="AS1003" s="68"/>
      <c r="AT1003" s="68"/>
      <c r="AU1003" s="68"/>
      <c r="AV1003" s="68"/>
      <c r="AW1003" s="68"/>
      <c r="AX1003" s="68"/>
      <c r="AY1003" s="68"/>
    </row>
    <row r="1004" spans="1:51" ht="12.9" customHeight="1">
      <c r="A1004" s="14"/>
      <c r="B1004" s="73"/>
      <c r="C1004" s="74"/>
      <c r="D1004" s="1784"/>
      <c r="E1004" s="1267"/>
      <c r="F1004" s="1267"/>
      <c r="G1004" s="1267"/>
      <c r="H1004" s="1267"/>
      <c r="I1004" s="1267"/>
      <c r="J1004" s="1267"/>
      <c r="K1004" s="1267"/>
      <c r="L1004" s="1267"/>
      <c r="M1004" s="1267"/>
      <c r="N1004" s="1267"/>
      <c r="O1004" s="1267"/>
      <c r="P1004" s="1267"/>
      <c r="Q1004" s="1267"/>
      <c r="R1004" s="1267"/>
      <c r="S1004" s="1267"/>
      <c r="T1004" s="1267"/>
      <c r="U1004" s="1267"/>
      <c r="V1004" s="1267"/>
      <c r="W1004" s="1267"/>
      <c r="X1004" s="1267"/>
      <c r="Y1004" s="1267"/>
      <c r="Z1004" s="1267"/>
      <c r="AA1004" s="1267"/>
      <c r="AB1004" s="1267"/>
      <c r="AC1004" s="1267"/>
      <c r="AD1004" s="1267"/>
      <c r="AE1004" s="1785"/>
      <c r="AF1004" s="73"/>
      <c r="AG1004" s="14"/>
      <c r="AH1004" s="14"/>
      <c r="AI1004" s="83"/>
      <c r="AJ1004" s="1775"/>
      <c r="AK1004" s="1776"/>
      <c r="AL1004" s="1776"/>
      <c r="AM1004" s="1776"/>
      <c r="AN1004" s="1776"/>
      <c r="AO1004" s="1776"/>
      <c r="AP1004" s="1776"/>
      <c r="AQ1004" s="1777"/>
      <c r="AR1004" s="68"/>
      <c r="AS1004" s="68"/>
      <c r="AT1004" s="68"/>
      <c r="AU1004" s="68"/>
      <c r="AV1004" s="68"/>
      <c r="AW1004" s="68"/>
      <c r="AX1004" s="68"/>
      <c r="AY1004" s="68"/>
    </row>
    <row r="1005" spans="1:51" ht="12.9" customHeight="1">
      <c r="A1005" s="14"/>
      <c r="B1005" s="73"/>
      <c r="C1005" s="74"/>
      <c r="D1005" s="1786"/>
      <c r="E1005" s="1787"/>
      <c r="F1005" s="1787"/>
      <c r="G1005" s="1787"/>
      <c r="H1005" s="1787"/>
      <c r="I1005" s="1787"/>
      <c r="J1005" s="1787"/>
      <c r="K1005" s="1787"/>
      <c r="L1005" s="1787"/>
      <c r="M1005" s="1787"/>
      <c r="N1005" s="1787"/>
      <c r="O1005" s="1787"/>
      <c r="P1005" s="1787"/>
      <c r="Q1005" s="1787"/>
      <c r="R1005" s="1787"/>
      <c r="S1005" s="1787"/>
      <c r="T1005" s="1787"/>
      <c r="U1005" s="1787"/>
      <c r="V1005" s="1787"/>
      <c r="W1005" s="1787"/>
      <c r="X1005" s="1787"/>
      <c r="Y1005" s="1787"/>
      <c r="Z1005" s="1787"/>
      <c r="AA1005" s="1787"/>
      <c r="AB1005" s="1787"/>
      <c r="AC1005" s="1787"/>
      <c r="AD1005" s="1787"/>
      <c r="AE1005" s="1788"/>
      <c r="AF1005" s="73"/>
      <c r="AG1005" s="14"/>
      <c r="AH1005" s="14"/>
      <c r="AI1005" s="83"/>
      <c r="AJ1005" s="1775"/>
      <c r="AK1005" s="1776"/>
      <c r="AL1005" s="1776"/>
      <c r="AM1005" s="1776"/>
      <c r="AN1005" s="1776"/>
      <c r="AO1005" s="1776"/>
      <c r="AP1005" s="1776"/>
      <c r="AQ1005" s="1777"/>
      <c r="AR1005" s="68"/>
      <c r="AS1005" s="68"/>
      <c r="AT1005" s="68"/>
      <c r="AU1005" s="68"/>
      <c r="AV1005" s="68"/>
      <c r="AW1005" s="68"/>
      <c r="AX1005" s="68"/>
      <c r="AY1005" s="68"/>
    </row>
    <row r="1006" spans="1:51" ht="12.9" customHeight="1">
      <c r="A1006" s="14"/>
      <c r="B1006" s="79"/>
      <c r="C1006" s="131" t="s">
        <v>1066</v>
      </c>
      <c r="D1006" s="1753" t="s">
        <v>1461</v>
      </c>
      <c r="E1006" s="1754"/>
      <c r="F1006" s="1754"/>
      <c r="G1006" s="1754"/>
      <c r="H1006" s="1754"/>
      <c r="I1006" s="1754"/>
      <c r="J1006" s="1754"/>
      <c r="K1006" s="1754"/>
      <c r="L1006" s="1754"/>
      <c r="M1006" s="1754"/>
      <c r="N1006" s="1754"/>
      <c r="O1006" s="1754"/>
      <c r="P1006" s="1754"/>
      <c r="Q1006" s="1754"/>
      <c r="R1006" s="1754"/>
      <c r="S1006" s="1754"/>
      <c r="T1006" s="1754"/>
      <c r="U1006" s="1754"/>
      <c r="V1006" s="1754"/>
      <c r="W1006" s="1754"/>
      <c r="X1006" s="1754"/>
      <c r="Y1006" s="1754"/>
      <c r="Z1006" s="1754"/>
      <c r="AA1006" s="1754"/>
      <c r="AB1006" s="1754"/>
      <c r="AC1006" s="1754"/>
      <c r="AD1006" s="1754"/>
      <c r="AE1006" s="1755"/>
      <c r="AF1006" s="79"/>
      <c r="AG1006" s="1765" t="s">
        <v>555</v>
      </c>
      <c r="AH1006" s="1766"/>
      <c r="AI1006" s="87"/>
      <c r="AJ1006" s="1772">
        <f>ROUND(IF(AG1006="yes",(AJ961*0.1),0),0)</f>
        <v>11142629</v>
      </c>
      <c r="AK1006" s="1773"/>
      <c r="AL1006" s="1773"/>
      <c r="AM1006" s="1773"/>
      <c r="AN1006" s="1773"/>
      <c r="AO1006" s="1773"/>
      <c r="AP1006" s="1773"/>
      <c r="AQ1006" s="1774"/>
      <c r="AR1006" s="68"/>
      <c r="AS1006" s="68"/>
      <c r="AT1006" s="68"/>
      <c r="AU1006" s="68"/>
      <c r="AV1006" s="68"/>
      <c r="AW1006" s="68"/>
      <c r="AX1006" s="68"/>
      <c r="AY1006" s="68"/>
    </row>
    <row r="1007" spans="1:51" ht="12.9" customHeight="1">
      <c r="A1007" s="14"/>
      <c r="B1007" s="73"/>
      <c r="C1007" s="74"/>
      <c r="D1007" s="1756" t="s">
        <v>2616</v>
      </c>
      <c r="E1007" s="1757"/>
      <c r="F1007" s="1757"/>
      <c r="G1007" s="1757"/>
      <c r="H1007" s="1757"/>
      <c r="I1007" s="1757"/>
      <c r="J1007" s="1757"/>
      <c r="K1007" s="1757"/>
      <c r="L1007" s="1757"/>
      <c r="M1007" s="1757"/>
      <c r="N1007" s="1757"/>
      <c r="O1007" s="1757"/>
      <c r="P1007" s="1757"/>
      <c r="Q1007" s="1757"/>
      <c r="R1007" s="1757"/>
      <c r="S1007" s="1757"/>
      <c r="T1007" s="1757"/>
      <c r="U1007" s="1757"/>
      <c r="V1007" s="1757"/>
      <c r="W1007" s="1757"/>
      <c r="X1007" s="1757"/>
      <c r="Y1007" s="1757"/>
      <c r="Z1007" s="1757"/>
      <c r="AA1007" s="1757"/>
      <c r="AB1007" s="1757"/>
      <c r="AC1007" s="1757"/>
      <c r="AD1007" s="1757"/>
      <c r="AE1007" s="1758"/>
      <c r="AF1007" s="73"/>
      <c r="AG1007" s="14"/>
      <c r="AH1007" s="14"/>
      <c r="AI1007" s="83"/>
      <c r="AJ1007" s="1775"/>
      <c r="AK1007" s="1776"/>
      <c r="AL1007" s="1776"/>
      <c r="AM1007" s="1776"/>
      <c r="AN1007" s="1776"/>
      <c r="AO1007" s="1776"/>
      <c r="AP1007" s="1776"/>
      <c r="AQ1007" s="1777"/>
      <c r="AR1007" s="68"/>
      <c r="AS1007" s="68"/>
      <c r="AT1007" s="68"/>
      <c r="AU1007" s="68"/>
      <c r="AV1007" s="68"/>
      <c r="AW1007" s="68"/>
      <c r="AX1007" s="68"/>
      <c r="AY1007" s="68"/>
    </row>
    <row r="1008" spans="1:51" ht="12.9" customHeight="1">
      <c r="A1008" s="14"/>
      <c r="B1008" s="73"/>
      <c r="C1008" s="74"/>
      <c r="D1008" s="1756"/>
      <c r="E1008" s="1757"/>
      <c r="F1008" s="1757"/>
      <c r="G1008" s="1757"/>
      <c r="H1008" s="1757"/>
      <c r="I1008" s="1757"/>
      <c r="J1008" s="1757"/>
      <c r="K1008" s="1757"/>
      <c r="L1008" s="1757"/>
      <c r="M1008" s="1757"/>
      <c r="N1008" s="1757"/>
      <c r="O1008" s="1757"/>
      <c r="P1008" s="1757"/>
      <c r="Q1008" s="1757"/>
      <c r="R1008" s="1757"/>
      <c r="S1008" s="1757"/>
      <c r="T1008" s="1757"/>
      <c r="U1008" s="1757"/>
      <c r="V1008" s="1757"/>
      <c r="W1008" s="1757"/>
      <c r="X1008" s="1757"/>
      <c r="Y1008" s="1757"/>
      <c r="Z1008" s="1757"/>
      <c r="AA1008" s="1757"/>
      <c r="AB1008" s="1757"/>
      <c r="AC1008" s="1757"/>
      <c r="AD1008" s="1757"/>
      <c r="AE1008" s="1758"/>
      <c r="AF1008" s="73"/>
      <c r="AG1008" s="14"/>
      <c r="AH1008" s="14"/>
      <c r="AI1008" s="83"/>
      <c r="AJ1008" s="1775"/>
      <c r="AK1008" s="1776"/>
      <c r="AL1008" s="1776"/>
      <c r="AM1008" s="1776"/>
      <c r="AN1008" s="1776"/>
      <c r="AO1008" s="1776"/>
      <c r="AP1008" s="1776"/>
      <c r="AQ1008" s="1777"/>
      <c r="AR1008" s="68"/>
      <c r="AS1008" s="68"/>
      <c r="AT1008" s="68"/>
      <c r="AU1008" s="68"/>
      <c r="AV1008" s="68"/>
      <c r="AW1008" s="68"/>
      <c r="AX1008" s="68"/>
      <c r="AY1008" s="68"/>
    </row>
    <row r="1009" spans="1:51" ht="12.9" customHeight="1">
      <c r="A1009" s="14"/>
      <c r="B1009" s="73"/>
      <c r="C1009" s="74"/>
      <c r="D1009" s="1769"/>
      <c r="E1009" s="1770"/>
      <c r="F1009" s="1770"/>
      <c r="G1009" s="1770"/>
      <c r="H1009" s="1770"/>
      <c r="I1009" s="1770"/>
      <c r="J1009" s="1770"/>
      <c r="K1009" s="1770"/>
      <c r="L1009" s="1770"/>
      <c r="M1009" s="1770"/>
      <c r="N1009" s="1770"/>
      <c r="O1009" s="1770"/>
      <c r="P1009" s="1770"/>
      <c r="Q1009" s="1770"/>
      <c r="R1009" s="1770"/>
      <c r="S1009" s="1770"/>
      <c r="T1009" s="1770"/>
      <c r="U1009" s="1770"/>
      <c r="V1009" s="1770"/>
      <c r="W1009" s="1770"/>
      <c r="X1009" s="1770"/>
      <c r="Y1009" s="1770"/>
      <c r="Z1009" s="1770"/>
      <c r="AA1009" s="1770"/>
      <c r="AB1009" s="1770"/>
      <c r="AC1009" s="1770"/>
      <c r="AD1009" s="1770"/>
      <c r="AE1009" s="1771"/>
      <c r="AF1009" s="73"/>
      <c r="AG1009" s="14"/>
      <c r="AH1009" s="14"/>
      <c r="AI1009" s="83"/>
      <c r="AJ1009" s="1778"/>
      <c r="AK1009" s="1779"/>
      <c r="AL1009" s="1779"/>
      <c r="AM1009" s="1779"/>
      <c r="AN1009" s="1779"/>
      <c r="AO1009" s="1779"/>
      <c r="AP1009" s="1779"/>
      <c r="AQ1009" s="1780"/>
      <c r="AR1009" s="68"/>
      <c r="AS1009" s="68"/>
      <c r="AT1009" s="68"/>
      <c r="AU1009" s="68"/>
      <c r="AV1009" s="68"/>
      <c r="AW1009" s="68"/>
      <c r="AX1009" s="68"/>
      <c r="AY1009" s="68"/>
    </row>
    <row r="1010" spans="1:51" ht="12.9" customHeight="1">
      <c r="A1010" s="14"/>
      <c r="B1010" s="79"/>
      <c r="C1010" s="131" t="s">
        <v>1943</v>
      </c>
      <c r="D1010" s="1792" t="s">
        <v>2127</v>
      </c>
      <c r="E1010" s="1793"/>
      <c r="F1010" s="1793"/>
      <c r="G1010" s="1793"/>
      <c r="H1010" s="1793"/>
      <c r="I1010" s="1793"/>
      <c r="J1010" s="1793"/>
      <c r="K1010" s="1793"/>
      <c r="L1010" s="1793"/>
      <c r="M1010" s="1793"/>
      <c r="N1010" s="1793"/>
      <c r="O1010" s="1793"/>
      <c r="P1010" s="1793"/>
      <c r="Q1010" s="1793"/>
      <c r="R1010" s="1793"/>
      <c r="S1010" s="1793"/>
      <c r="T1010" s="1793"/>
      <c r="U1010" s="1793"/>
      <c r="V1010" s="1793"/>
      <c r="W1010" s="1793"/>
      <c r="X1010" s="1793"/>
      <c r="Y1010" s="1793"/>
      <c r="Z1010" s="1793"/>
      <c r="AA1010" s="1793"/>
      <c r="AB1010" s="1793"/>
      <c r="AC1010" s="1793"/>
      <c r="AD1010" s="1793"/>
      <c r="AE1010" s="1794"/>
      <c r="AF1010" s="79"/>
      <c r="AG1010" s="1763" t="str">
        <f>IF(X1013&gt;0,"Yes","No")</f>
        <v>Yes</v>
      </c>
      <c r="AH1010" s="1764"/>
      <c r="AI1010" s="87"/>
      <c r="AJ1010" s="1772">
        <f>IF((X1013=0),0,BA975*AJ961)</f>
        <v>11142628.5</v>
      </c>
      <c r="AK1010" s="1773"/>
      <c r="AL1010" s="1773"/>
      <c r="AM1010" s="1773"/>
      <c r="AN1010" s="1773"/>
      <c r="AO1010" s="1773"/>
      <c r="AP1010" s="1773"/>
      <c r="AQ1010" s="1774"/>
      <c r="AR1010" s="68"/>
      <c r="AS1010" s="68"/>
      <c r="AT1010" s="68"/>
      <c r="AU1010" s="68"/>
      <c r="AV1010" s="68"/>
      <c r="AW1010" s="68"/>
      <c r="AX1010" s="68"/>
      <c r="AY1010" s="68"/>
    </row>
    <row r="1011" spans="1:51" ht="12.9" customHeight="1">
      <c r="A1011" s="14"/>
      <c r="B1011" s="73"/>
      <c r="C1011" s="477"/>
      <c r="D1011" s="1756" t="s">
        <v>1463</v>
      </c>
      <c r="E1011" s="1757"/>
      <c r="F1011" s="1757"/>
      <c r="G1011" s="1757"/>
      <c r="H1011" s="1757"/>
      <c r="I1011" s="1757"/>
      <c r="J1011" s="1757"/>
      <c r="K1011" s="1757"/>
      <c r="L1011" s="1757"/>
      <c r="M1011" s="1757"/>
      <c r="N1011" s="1757"/>
      <c r="O1011" s="1757"/>
      <c r="P1011" s="1757"/>
      <c r="Q1011" s="1757"/>
      <c r="R1011" s="1757"/>
      <c r="S1011" s="1757"/>
      <c r="T1011" s="1757"/>
      <c r="U1011" s="1757"/>
      <c r="V1011" s="1757"/>
      <c r="W1011" s="1757"/>
      <c r="X1011" s="1757"/>
      <c r="Y1011" s="1757"/>
      <c r="Z1011" s="1757"/>
      <c r="AA1011" s="1757"/>
      <c r="AB1011" s="1757"/>
      <c r="AC1011" s="1757"/>
      <c r="AD1011" s="1757"/>
      <c r="AE1011" s="1758"/>
      <c r="AF1011" s="73"/>
      <c r="AG1011" s="478"/>
      <c r="AH1011" s="478"/>
      <c r="AI1011" s="83"/>
      <c r="AJ1011" s="1775"/>
      <c r="AK1011" s="1776"/>
      <c r="AL1011" s="1776"/>
      <c r="AM1011" s="1776"/>
      <c r="AN1011" s="1776"/>
      <c r="AO1011" s="1776"/>
      <c r="AP1011" s="1776"/>
      <c r="AQ1011" s="1777"/>
      <c r="AR1011" s="68"/>
      <c r="AS1011" s="68"/>
      <c r="AT1011" s="68"/>
      <c r="AU1011" s="68"/>
      <c r="AV1011" s="68"/>
      <c r="AW1011" s="68"/>
      <c r="AX1011" s="68"/>
      <c r="AY1011" s="68"/>
    </row>
    <row r="1012" spans="1:51" ht="12.9" customHeight="1">
      <c r="A1012" s="14"/>
      <c r="B1012" s="73"/>
      <c r="C1012" s="477"/>
      <c r="D1012" s="1756"/>
      <c r="E1012" s="1757"/>
      <c r="F1012" s="1757"/>
      <c r="G1012" s="1757"/>
      <c r="H1012" s="1757"/>
      <c r="I1012" s="1757"/>
      <c r="J1012" s="1757"/>
      <c r="K1012" s="1757"/>
      <c r="L1012" s="1757"/>
      <c r="M1012" s="1757"/>
      <c r="N1012" s="1757"/>
      <c r="O1012" s="1757"/>
      <c r="P1012" s="1757"/>
      <c r="Q1012" s="1757"/>
      <c r="R1012" s="1757"/>
      <c r="S1012" s="1757"/>
      <c r="T1012" s="1757"/>
      <c r="U1012" s="1757"/>
      <c r="V1012" s="1757"/>
      <c r="W1012" s="1757"/>
      <c r="X1012" s="1757"/>
      <c r="Y1012" s="1757"/>
      <c r="Z1012" s="1757"/>
      <c r="AA1012" s="1757"/>
      <c r="AB1012" s="1757"/>
      <c r="AC1012" s="1757"/>
      <c r="AD1012" s="1757"/>
      <c r="AE1012" s="1758"/>
      <c r="AF1012" s="73"/>
      <c r="AG1012" s="478"/>
      <c r="AH1012" s="478"/>
      <c r="AI1012" s="83"/>
      <c r="AJ1012" s="1775"/>
      <c r="AK1012" s="1776"/>
      <c r="AL1012" s="1776"/>
      <c r="AM1012" s="1776"/>
      <c r="AN1012" s="1776"/>
      <c r="AO1012" s="1776"/>
      <c r="AP1012" s="1776"/>
      <c r="AQ1012" s="1777"/>
      <c r="AR1012" s="68"/>
      <c r="AS1012" s="68"/>
      <c r="AT1012" s="68"/>
      <c r="AU1012" s="68"/>
      <c r="AV1012" s="68"/>
      <c r="AW1012" s="68"/>
      <c r="AX1012" s="68"/>
      <c r="AY1012" s="68"/>
    </row>
    <row r="1013" spans="1:51" ht="12.9" customHeight="1">
      <c r="A1013" s="14"/>
      <c r="B1013" s="77"/>
      <c r="C1013" s="78"/>
      <c r="D1013" s="132" t="s">
        <v>1011</v>
      </c>
      <c r="E1013" s="133"/>
      <c r="F1013" s="133"/>
      <c r="G1013" s="133"/>
      <c r="H1013" s="133"/>
      <c r="I1013" s="1761">
        <f>BA973</f>
        <v>226</v>
      </c>
      <c r="J1013" s="1762"/>
      <c r="K1013" s="7"/>
      <c r="L1013" s="133"/>
      <c r="M1013" s="133"/>
      <c r="N1013" s="133"/>
      <c r="O1013" s="133"/>
      <c r="P1013" s="133"/>
      <c r="Q1013" s="133"/>
      <c r="R1013" s="133"/>
      <c r="S1013" s="133"/>
      <c r="T1013" s="133"/>
      <c r="U1013" s="133"/>
      <c r="V1013" s="134" t="s">
        <v>1012</v>
      </c>
      <c r="W1013" s="48"/>
      <c r="X1013" s="1759">
        <f>BG621</f>
        <v>24</v>
      </c>
      <c r="Y1013" s="1760"/>
      <c r="Z1013" s="48"/>
      <c r="AA1013" s="48"/>
      <c r="AB1013" s="48"/>
      <c r="AC1013" s="48"/>
      <c r="AD1013" s="48"/>
      <c r="AE1013" s="49"/>
      <c r="AF1013" s="961"/>
      <c r="AG1013" s="962"/>
      <c r="AH1013" s="962"/>
      <c r="AI1013" s="963"/>
      <c r="AJ1013" s="1778"/>
      <c r="AK1013" s="1779"/>
      <c r="AL1013" s="1779"/>
      <c r="AM1013" s="1779"/>
      <c r="AN1013" s="1779"/>
      <c r="AO1013" s="1779"/>
      <c r="AP1013" s="1779"/>
      <c r="AQ1013" s="1780"/>
      <c r="AR1013" s="68"/>
      <c r="AS1013" s="68"/>
      <c r="AT1013" s="68"/>
      <c r="AU1013" s="68"/>
      <c r="AV1013" s="68"/>
      <c r="AW1013" s="68"/>
      <c r="AX1013" s="68"/>
      <c r="AY1013" s="68"/>
    </row>
    <row r="1014" spans="1:51" ht="12.9" customHeight="1">
      <c r="A1014" s="14"/>
      <c r="B1014" s="79"/>
      <c r="C1014" s="131" t="s">
        <v>1944</v>
      </c>
      <c r="D1014" s="1753" t="s">
        <v>2128</v>
      </c>
      <c r="E1014" s="1754"/>
      <c r="F1014" s="1754"/>
      <c r="G1014" s="1754"/>
      <c r="H1014" s="1754"/>
      <c r="I1014" s="1754"/>
      <c r="J1014" s="1754"/>
      <c r="K1014" s="1754"/>
      <c r="L1014" s="1754"/>
      <c r="M1014" s="1754"/>
      <c r="N1014" s="1754"/>
      <c r="O1014" s="1754"/>
      <c r="P1014" s="1754"/>
      <c r="Q1014" s="1754"/>
      <c r="R1014" s="1754"/>
      <c r="S1014" s="1754"/>
      <c r="T1014" s="1754"/>
      <c r="U1014" s="1754"/>
      <c r="V1014" s="1754"/>
      <c r="W1014" s="1754"/>
      <c r="X1014" s="1754"/>
      <c r="Y1014" s="1754"/>
      <c r="Z1014" s="1754"/>
      <c r="AA1014" s="1754"/>
      <c r="AB1014" s="1754"/>
      <c r="AC1014" s="1754"/>
      <c r="AD1014" s="1754"/>
      <c r="AE1014" s="1755"/>
      <c r="AF1014" s="73"/>
      <c r="AG1014" s="1763" t="str">
        <f>IF(X1017&gt;0,"Yes","No")</f>
        <v>Yes</v>
      </c>
      <c r="AH1014" s="1764"/>
      <c r="AI1014" s="83"/>
      <c r="AJ1014" s="1772">
        <f>IF((X1017=0),0,(2*BA976)*AJ961)</f>
        <v>22285257</v>
      </c>
      <c r="AK1014" s="1773"/>
      <c r="AL1014" s="1773"/>
      <c r="AM1014" s="1773"/>
      <c r="AN1014" s="1773"/>
      <c r="AO1014" s="1773"/>
      <c r="AP1014" s="1773"/>
      <c r="AQ1014" s="1774"/>
      <c r="AR1014" s="68"/>
      <c r="AS1014" s="68"/>
      <c r="AT1014" s="68"/>
      <c r="AU1014" s="68"/>
      <c r="AV1014" s="68"/>
      <c r="AW1014" s="68"/>
      <c r="AX1014" s="68"/>
      <c r="AY1014" s="68"/>
    </row>
    <row r="1015" spans="1:51" ht="12.9" customHeight="1">
      <c r="A1015" s="14"/>
      <c r="B1015" s="73"/>
      <c r="C1015" s="477"/>
      <c r="D1015" s="1756" t="s">
        <v>1462</v>
      </c>
      <c r="E1015" s="1757"/>
      <c r="F1015" s="1757"/>
      <c r="G1015" s="1757"/>
      <c r="H1015" s="1757"/>
      <c r="I1015" s="1757"/>
      <c r="J1015" s="1757"/>
      <c r="K1015" s="1757"/>
      <c r="L1015" s="1757"/>
      <c r="M1015" s="1757"/>
      <c r="N1015" s="1757"/>
      <c r="O1015" s="1757"/>
      <c r="P1015" s="1757"/>
      <c r="Q1015" s="1757"/>
      <c r="R1015" s="1757"/>
      <c r="S1015" s="1757"/>
      <c r="T1015" s="1757"/>
      <c r="U1015" s="1757"/>
      <c r="V1015" s="1757"/>
      <c r="W1015" s="1757"/>
      <c r="X1015" s="1757"/>
      <c r="Y1015" s="1757"/>
      <c r="Z1015" s="1757"/>
      <c r="AA1015" s="1757"/>
      <c r="AB1015" s="1757"/>
      <c r="AC1015" s="1757"/>
      <c r="AD1015" s="1757"/>
      <c r="AE1015" s="1758"/>
      <c r="AF1015" s="73"/>
      <c r="AG1015" s="478"/>
      <c r="AH1015" s="478"/>
      <c r="AI1015" s="83"/>
      <c r="AJ1015" s="1775"/>
      <c r="AK1015" s="1776"/>
      <c r="AL1015" s="1776"/>
      <c r="AM1015" s="1776"/>
      <c r="AN1015" s="1776"/>
      <c r="AO1015" s="1776"/>
      <c r="AP1015" s="1776"/>
      <c r="AQ1015" s="1777"/>
      <c r="AR1015" s="68"/>
      <c r="AS1015" s="68"/>
      <c r="AT1015" s="68"/>
      <c r="AU1015" s="68"/>
      <c r="AV1015" s="68"/>
      <c r="AW1015" s="68"/>
      <c r="AX1015" s="68"/>
      <c r="AY1015" s="68"/>
    </row>
    <row r="1016" spans="1:51" ht="12.9" customHeight="1">
      <c r="A1016" s="14"/>
      <c r="B1016" s="73"/>
      <c r="C1016" s="83"/>
      <c r="D1016" s="1756"/>
      <c r="E1016" s="1757"/>
      <c r="F1016" s="1757"/>
      <c r="G1016" s="1757"/>
      <c r="H1016" s="1757"/>
      <c r="I1016" s="1757"/>
      <c r="J1016" s="1757"/>
      <c r="K1016" s="1757"/>
      <c r="L1016" s="1757"/>
      <c r="M1016" s="1757"/>
      <c r="N1016" s="1757"/>
      <c r="O1016" s="1757"/>
      <c r="P1016" s="1757"/>
      <c r="Q1016" s="1757"/>
      <c r="R1016" s="1757"/>
      <c r="S1016" s="1757"/>
      <c r="T1016" s="1757"/>
      <c r="U1016" s="1757"/>
      <c r="V1016" s="1757"/>
      <c r="W1016" s="1757"/>
      <c r="X1016" s="1757"/>
      <c r="Y1016" s="1757"/>
      <c r="Z1016" s="1757"/>
      <c r="AA1016" s="1757"/>
      <c r="AB1016" s="1757"/>
      <c r="AC1016" s="1757"/>
      <c r="AD1016" s="1757"/>
      <c r="AE1016" s="1758"/>
      <c r="AF1016" s="958"/>
      <c r="AG1016" s="959"/>
      <c r="AH1016" s="959"/>
      <c r="AI1016" s="960"/>
      <c r="AJ1016" s="1775"/>
      <c r="AK1016" s="1776"/>
      <c r="AL1016" s="1776"/>
      <c r="AM1016" s="1776"/>
      <c r="AN1016" s="1776"/>
      <c r="AO1016" s="1776"/>
      <c r="AP1016" s="1776"/>
      <c r="AQ1016" s="1777"/>
      <c r="AR1016" s="68"/>
      <c r="AS1016" s="68"/>
      <c r="AT1016" s="68"/>
      <c r="AU1016" s="68"/>
      <c r="AV1016" s="68"/>
      <c r="AW1016" s="68"/>
      <c r="AX1016" s="68"/>
      <c r="AY1016" s="68"/>
    </row>
    <row r="1017" spans="1:51" ht="12.9" customHeight="1">
      <c r="A1017" s="14"/>
      <c r="B1017" s="77"/>
      <c r="C1017" s="78"/>
      <c r="D1017" s="132" t="s">
        <v>1011</v>
      </c>
      <c r="E1017" s="133"/>
      <c r="F1017" s="133"/>
      <c r="G1017" s="133"/>
      <c r="H1017" s="133"/>
      <c r="I1017" s="1761">
        <f>BA973</f>
        <v>226</v>
      </c>
      <c r="J1017" s="1762"/>
      <c r="K1017" s="14"/>
      <c r="L1017" s="133"/>
      <c r="M1017" s="133"/>
      <c r="N1017" s="133"/>
      <c r="O1017" s="133"/>
      <c r="P1017" s="133"/>
      <c r="Q1017" s="133"/>
      <c r="R1017" s="133"/>
      <c r="S1017" s="133"/>
      <c r="T1017" s="133"/>
      <c r="U1017" s="133"/>
      <c r="V1017" s="134" t="s">
        <v>1013</v>
      </c>
      <c r="X1017" s="1759">
        <f>BK621</f>
        <v>24</v>
      </c>
      <c r="Y1017" s="1760"/>
      <c r="AF1017" s="961"/>
      <c r="AG1017" s="962"/>
      <c r="AH1017" s="962"/>
      <c r="AI1017" s="963"/>
      <c r="AJ1017" s="1778"/>
      <c r="AK1017" s="1779"/>
      <c r="AL1017" s="1779"/>
      <c r="AM1017" s="1779"/>
      <c r="AN1017" s="1779"/>
      <c r="AO1017" s="1779"/>
      <c r="AP1017" s="1779"/>
      <c r="AQ1017" s="1780"/>
      <c r="AR1017" s="68"/>
      <c r="AS1017" s="68"/>
      <c r="AT1017" s="68"/>
      <c r="AU1017" s="68"/>
      <c r="AV1017" s="68"/>
      <c r="AW1017" s="68"/>
      <c r="AX1017" s="68"/>
      <c r="AY1017" s="68"/>
    </row>
    <row r="1018" spans="1:51" ht="12.9" customHeight="1">
      <c r="A1018" s="14"/>
      <c r="B1018" s="102"/>
      <c r="C1018" s="103"/>
      <c r="D1018" s="1751" t="s">
        <v>523</v>
      </c>
      <c r="E1018" s="1751"/>
      <c r="F1018" s="1751"/>
      <c r="G1018" s="1751"/>
      <c r="H1018" s="1751"/>
      <c r="I1018" s="1751"/>
      <c r="J1018" s="1751"/>
      <c r="K1018" s="1751"/>
      <c r="L1018" s="1751"/>
      <c r="M1018" s="1751"/>
      <c r="N1018" s="1751"/>
      <c r="O1018" s="1751"/>
      <c r="P1018" s="1751"/>
      <c r="Q1018" s="1751"/>
      <c r="R1018" s="1751"/>
      <c r="S1018" s="1751"/>
      <c r="T1018" s="1751"/>
      <c r="U1018" s="1751"/>
      <c r="V1018" s="1751"/>
      <c r="W1018" s="1751"/>
      <c r="X1018" s="1751"/>
      <c r="Y1018" s="1751"/>
      <c r="Z1018" s="1751"/>
      <c r="AA1018" s="1751"/>
      <c r="AB1018" s="1751"/>
      <c r="AC1018" s="1751"/>
      <c r="AD1018" s="1751"/>
      <c r="AE1018" s="1751"/>
      <c r="AF1018" s="1751"/>
      <c r="AG1018" s="1751"/>
      <c r="AH1018" s="1751"/>
      <c r="AI1018" s="1752"/>
      <c r="AJ1018" s="1781">
        <f>SUM(AJ961:AQ1017)</f>
        <v>175869771.5</v>
      </c>
      <c r="AK1018" s="1782"/>
      <c r="AL1018" s="1782"/>
      <c r="AM1018" s="1782"/>
      <c r="AN1018" s="1782"/>
      <c r="AO1018" s="1782"/>
      <c r="AP1018" s="1782"/>
      <c r="AQ1018" s="1783"/>
      <c r="AR1018" s="68"/>
      <c r="AS1018" s="68"/>
      <c r="AT1018" s="68"/>
      <c r="AU1018" s="68"/>
      <c r="AV1018" s="68"/>
      <c r="AW1018" s="68"/>
      <c r="AX1018" s="68"/>
      <c r="AY1018" s="68"/>
    </row>
    <row r="1019" spans="1:51" ht="12.9"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 customHeight="1">
      <c r="A1025" s="88"/>
      <c r="B1025" s="1717">
        <f>IF(ISNA(IF((AJ985&gt;(AJ961*0.15)),"(f) cannot be greater than 15% of unadjusted eligible basis.",0)),"",(IF((AJ985&gt;(AJ961*0.15)),"(f) cannot be greater than 15% of unadjusted eligible basis.",0)))</f>
        <v>0</v>
      </c>
      <c r="C1025" s="1717"/>
      <c r="D1025" s="1717"/>
      <c r="E1025" s="1717"/>
      <c r="F1025" s="1717"/>
      <c r="G1025" s="1717"/>
      <c r="H1025" s="1717"/>
      <c r="I1025" s="1717"/>
      <c r="J1025" s="1717"/>
      <c r="K1025" s="1717"/>
      <c r="L1025" s="1717"/>
      <c r="M1025" s="1717"/>
      <c r="N1025" s="1717"/>
      <c r="O1025" s="1717"/>
      <c r="P1025" s="1717"/>
      <c r="Q1025" s="1717"/>
      <c r="R1025" s="1717"/>
      <c r="S1025" s="1717"/>
      <c r="T1025" s="1717"/>
      <c r="U1025" s="1717"/>
      <c r="V1025" s="1717"/>
      <c r="W1025" s="1717"/>
      <c r="X1025" s="1717"/>
      <c r="Y1025" s="1717"/>
      <c r="Z1025" s="1717"/>
      <c r="AA1025" s="1717"/>
      <c r="AB1025" s="1717"/>
      <c r="AC1025" s="1717"/>
      <c r="AD1025" s="1717"/>
      <c r="AE1025" s="1717"/>
      <c r="AF1025" s="1717"/>
      <c r="AG1025" s="1717"/>
      <c r="AH1025" s="1717"/>
      <c r="AI1025" s="1717"/>
      <c r="AJ1025" s="1717"/>
      <c r="AK1025" s="1717"/>
      <c r="AL1025" s="68"/>
      <c r="AM1025" s="68"/>
      <c r="AN1025" s="68"/>
      <c r="AO1025" s="68"/>
      <c r="AP1025" s="68"/>
      <c r="AQ1025" s="68"/>
      <c r="AR1025" s="68"/>
      <c r="AS1025" s="68"/>
      <c r="AT1025" s="68"/>
      <c r="AU1025" s="68"/>
      <c r="AV1025" s="68"/>
      <c r="AW1025" s="68"/>
      <c r="AX1025" s="68"/>
      <c r="AY1025" s="68"/>
    </row>
    <row r="1026" spans="1:51" ht="12.9" customHeight="1" thickBot="1">
      <c r="A1026" s="1679" t="s">
        <v>819</v>
      </c>
      <c r="B1026" s="1679"/>
      <c r="C1026" s="1679"/>
      <c r="D1026" s="1679"/>
      <c r="E1026" s="1679"/>
      <c r="F1026" s="1679"/>
      <c r="G1026" s="1679"/>
      <c r="H1026" s="1679"/>
      <c r="I1026" s="1679"/>
      <c r="J1026" s="1679"/>
      <c r="K1026" s="1679"/>
      <c r="L1026" s="1679"/>
      <c r="M1026" s="1679"/>
      <c r="N1026" s="1679"/>
      <c r="O1026" s="1679"/>
      <c r="P1026" s="1679"/>
      <c r="Q1026" s="1679"/>
      <c r="R1026" s="1679"/>
      <c r="S1026" s="1679"/>
      <c r="T1026" s="1679"/>
      <c r="U1026" s="1679"/>
      <c r="V1026" s="1679"/>
      <c r="W1026" s="1679"/>
      <c r="X1026" s="1679"/>
      <c r="Y1026" s="1679"/>
      <c r="Z1026" s="1679"/>
      <c r="AA1026" s="1679"/>
      <c r="AB1026" s="1679"/>
      <c r="AC1026" s="1679"/>
      <c r="AD1026" s="1679"/>
      <c r="AE1026" s="1679"/>
      <c r="AF1026" s="1679"/>
      <c r="AG1026" s="1679"/>
      <c r="AH1026" s="1679"/>
      <c r="AI1026" s="1679"/>
      <c r="AJ1026" s="1679"/>
      <c r="AK1026" s="1679"/>
      <c r="AL1026" s="1679"/>
      <c r="AM1026" s="13"/>
      <c r="AN1026" s="13"/>
      <c r="AO1026" s="13"/>
      <c r="AP1026" s="13"/>
      <c r="AQ1026" s="13"/>
      <c r="AR1026" s="13"/>
      <c r="AS1026" s="13"/>
      <c r="AT1026" s="13"/>
      <c r="AU1026" s="13"/>
      <c r="AV1026" s="13"/>
      <c r="AW1026" s="13"/>
      <c r="AX1026" s="13"/>
      <c r="AY1026" s="13"/>
    </row>
    <row r="1027" spans="1:51" ht="12.9"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 customHeight="1">
      <c r="A1030" s="1374" t="s">
        <v>601</v>
      </c>
      <c r="B1030" s="1374"/>
      <c r="C1030" s="8">
        <v>1</v>
      </c>
      <c r="D1030" s="1261" t="s">
        <v>1169</v>
      </c>
      <c r="E1030" s="1261"/>
      <c r="F1030" s="1261"/>
      <c r="G1030" s="1261"/>
      <c r="H1030" s="1261"/>
      <c r="I1030" s="1261"/>
      <c r="J1030" s="1261"/>
      <c r="K1030" s="1261"/>
      <c r="L1030" s="1261"/>
      <c r="M1030" s="1261"/>
      <c r="N1030" s="1261"/>
      <c r="O1030" s="1261"/>
      <c r="P1030" s="1261"/>
      <c r="Q1030" s="1261"/>
      <c r="R1030" s="1261"/>
      <c r="S1030" s="1261"/>
      <c r="T1030" s="1261"/>
      <c r="U1030" s="1261"/>
      <c r="V1030" s="1261"/>
      <c r="W1030" s="1261"/>
      <c r="X1030" s="1261"/>
      <c r="Y1030" s="1261"/>
      <c r="Z1030" s="1261"/>
      <c r="AA1030" s="1261"/>
      <c r="AB1030" s="1261"/>
      <c r="AC1030" s="1261"/>
      <c r="AD1030" s="1261"/>
      <c r="AE1030" s="1261"/>
      <c r="AF1030" s="1261"/>
      <c r="AG1030" s="1261"/>
      <c r="AH1030" s="1261"/>
      <c r="AI1030" s="1261"/>
      <c r="AJ1030" s="1261"/>
      <c r="AK1030" s="1261"/>
      <c r="AL1030" s="68"/>
      <c r="AM1030" s="68"/>
      <c r="AN1030" s="68"/>
      <c r="AO1030" s="68"/>
      <c r="AP1030" s="68"/>
      <c r="AQ1030" s="68"/>
      <c r="AR1030" s="68"/>
      <c r="AS1030" s="68"/>
      <c r="AT1030" s="68"/>
      <c r="AU1030" s="68"/>
      <c r="AV1030" s="68"/>
      <c r="AW1030" s="68"/>
      <c r="AX1030" s="68"/>
      <c r="AY1030" s="68"/>
    </row>
    <row r="1031" spans="1:51" ht="12.9" customHeight="1">
      <c r="A1031" s="1"/>
      <c r="B1031" s="1"/>
      <c r="C1031" s="8"/>
      <c r="D1031" s="1261"/>
      <c r="E1031" s="1261"/>
      <c r="F1031" s="1261"/>
      <c r="G1031" s="1261"/>
      <c r="H1031" s="1261"/>
      <c r="I1031" s="1261"/>
      <c r="J1031" s="1261"/>
      <c r="K1031" s="1261"/>
      <c r="L1031" s="1261"/>
      <c r="M1031" s="1261"/>
      <c r="N1031" s="1261"/>
      <c r="O1031" s="1261"/>
      <c r="P1031" s="1261"/>
      <c r="Q1031" s="1261"/>
      <c r="R1031" s="1261"/>
      <c r="S1031" s="1261"/>
      <c r="T1031" s="1261"/>
      <c r="U1031" s="1261"/>
      <c r="V1031" s="1261"/>
      <c r="W1031" s="1261"/>
      <c r="X1031" s="1261"/>
      <c r="Y1031" s="1261"/>
      <c r="Z1031" s="1261"/>
      <c r="AA1031" s="1261"/>
      <c r="AB1031" s="1261"/>
      <c r="AC1031" s="1261"/>
      <c r="AD1031" s="1261"/>
      <c r="AE1031" s="1261"/>
      <c r="AF1031" s="1261"/>
      <c r="AG1031" s="1261"/>
      <c r="AH1031" s="1261"/>
      <c r="AI1031" s="1261"/>
      <c r="AJ1031" s="1261"/>
      <c r="AK1031" s="1261"/>
      <c r="AL1031" s="68"/>
      <c r="AM1031" s="68"/>
      <c r="AN1031" s="68"/>
      <c r="AO1031" s="68"/>
      <c r="AP1031" s="68"/>
      <c r="AQ1031" s="68"/>
      <c r="AR1031" s="68"/>
      <c r="AS1031" s="68"/>
      <c r="AT1031" s="68"/>
      <c r="AU1031" s="68"/>
      <c r="AV1031" s="68"/>
      <c r="AW1031" s="68"/>
      <c r="AX1031" s="68"/>
      <c r="AY1031" s="68"/>
    </row>
    <row r="1032" spans="1:51" ht="12.9" customHeight="1">
      <c r="A1032" s="1"/>
      <c r="B1032" s="1"/>
      <c r="C1032" s="8"/>
      <c r="D1032" s="1261"/>
      <c r="E1032" s="1261"/>
      <c r="F1032" s="1261"/>
      <c r="G1032" s="1261"/>
      <c r="H1032" s="1261"/>
      <c r="I1032" s="1261"/>
      <c r="J1032" s="1261"/>
      <c r="K1032" s="1261"/>
      <c r="L1032" s="1261"/>
      <c r="M1032" s="1261"/>
      <c r="N1032" s="1261"/>
      <c r="O1032" s="1261"/>
      <c r="P1032" s="1261"/>
      <c r="Q1032" s="1261"/>
      <c r="R1032" s="1261"/>
      <c r="S1032" s="1261"/>
      <c r="T1032" s="1261"/>
      <c r="U1032" s="1261"/>
      <c r="V1032" s="1261"/>
      <c r="W1032" s="1261"/>
      <c r="X1032" s="1261"/>
      <c r="Y1032" s="1261"/>
      <c r="Z1032" s="1261"/>
      <c r="AA1032" s="1261"/>
      <c r="AB1032" s="1261"/>
      <c r="AC1032" s="1261"/>
      <c r="AD1032" s="1261"/>
      <c r="AE1032" s="1261"/>
      <c r="AF1032" s="1261"/>
      <c r="AG1032" s="1261"/>
      <c r="AH1032" s="1261"/>
      <c r="AI1032" s="1261"/>
      <c r="AJ1032" s="1261"/>
      <c r="AK1032" s="1261"/>
      <c r="AL1032" s="68"/>
      <c r="AM1032" s="68"/>
      <c r="AN1032" s="68"/>
      <c r="AO1032" s="68"/>
      <c r="AP1032" s="68"/>
      <c r="AQ1032" s="68"/>
      <c r="AR1032" s="68"/>
      <c r="AS1032" s="68"/>
      <c r="AT1032" s="68"/>
      <c r="AU1032" s="68"/>
      <c r="AV1032" s="68"/>
      <c r="AW1032" s="68"/>
      <c r="AX1032" s="68"/>
      <c r="AY1032" s="68"/>
    </row>
    <row r="1033" spans="1:51" ht="12.9" customHeight="1">
      <c r="A1033" s="1"/>
      <c r="B1033" s="1"/>
      <c r="C1033" s="8"/>
      <c r="D1033" s="1261"/>
      <c r="E1033" s="1261"/>
      <c r="F1033" s="1261"/>
      <c r="G1033" s="1261"/>
      <c r="H1033" s="1261"/>
      <c r="I1033" s="1261"/>
      <c r="J1033" s="1261"/>
      <c r="K1033" s="1261"/>
      <c r="L1033" s="1261"/>
      <c r="M1033" s="1261"/>
      <c r="N1033" s="1261"/>
      <c r="O1033" s="1261"/>
      <c r="P1033" s="1261"/>
      <c r="Q1033" s="1261"/>
      <c r="R1033" s="1261"/>
      <c r="S1033" s="1261"/>
      <c r="T1033" s="1261"/>
      <c r="U1033" s="1261"/>
      <c r="V1033" s="1261"/>
      <c r="W1033" s="1261"/>
      <c r="X1033" s="1261"/>
      <c r="Y1033" s="1261"/>
      <c r="Z1033" s="1261"/>
      <c r="AA1033" s="1261"/>
      <c r="AB1033" s="1261"/>
      <c r="AC1033" s="1261"/>
      <c r="AD1033" s="1261"/>
      <c r="AE1033" s="1261"/>
      <c r="AF1033" s="1261"/>
      <c r="AG1033" s="1261"/>
      <c r="AH1033" s="1261"/>
      <c r="AI1033" s="1261"/>
      <c r="AJ1033" s="1261"/>
      <c r="AK1033" s="1261"/>
      <c r="AL1033" s="68"/>
      <c r="AM1033" s="68"/>
      <c r="AN1033" s="68"/>
      <c r="AO1033" s="68"/>
      <c r="AP1033" s="68"/>
      <c r="AQ1033" s="68"/>
      <c r="AR1033" s="68"/>
      <c r="AS1033" s="68"/>
      <c r="AT1033" s="68"/>
      <c r="AU1033" s="68"/>
      <c r="AV1033" s="68"/>
      <c r="AW1033" s="68"/>
      <c r="AX1033" s="68"/>
      <c r="AY1033" s="68"/>
    </row>
    <row r="1034" spans="1:51" ht="12.9" customHeight="1">
      <c r="A1034" s="1"/>
      <c r="B1034" s="1"/>
      <c r="C1034" s="8"/>
      <c r="D1034" s="1261"/>
      <c r="E1034" s="1261"/>
      <c r="F1034" s="1261"/>
      <c r="G1034" s="1261"/>
      <c r="H1034" s="1261"/>
      <c r="I1034" s="1261"/>
      <c r="J1034" s="1261"/>
      <c r="K1034" s="1261"/>
      <c r="L1034" s="1261"/>
      <c r="M1034" s="1261"/>
      <c r="N1034" s="1261"/>
      <c r="O1034" s="1261"/>
      <c r="P1034" s="1261"/>
      <c r="Q1034" s="1261"/>
      <c r="R1034" s="1261"/>
      <c r="S1034" s="1261"/>
      <c r="T1034" s="1261"/>
      <c r="U1034" s="1261"/>
      <c r="V1034" s="1261"/>
      <c r="W1034" s="1261"/>
      <c r="X1034" s="1261"/>
      <c r="Y1034" s="1261"/>
      <c r="Z1034" s="1261"/>
      <c r="AA1034" s="1261"/>
      <c r="AB1034" s="1261"/>
      <c r="AC1034" s="1261"/>
      <c r="AD1034" s="1261"/>
      <c r="AE1034" s="1261"/>
      <c r="AF1034" s="1261"/>
      <c r="AG1034" s="1261"/>
      <c r="AH1034" s="1261"/>
      <c r="AI1034" s="1261"/>
      <c r="AJ1034" s="1261"/>
      <c r="AK1034" s="1261"/>
      <c r="AL1034" s="68"/>
      <c r="AM1034" s="68"/>
      <c r="AN1034" s="68"/>
      <c r="AO1034" s="68"/>
      <c r="AP1034" s="68"/>
      <c r="AQ1034" s="68"/>
      <c r="AR1034" s="68"/>
      <c r="AS1034" s="68"/>
      <c r="AT1034" s="68"/>
      <c r="AU1034" s="68"/>
      <c r="AV1034" s="68"/>
      <c r="AW1034" s="68"/>
      <c r="AX1034" s="68"/>
      <c r="AY1034" s="68"/>
    </row>
    <row r="1035" spans="1:51" ht="12.9" customHeight="1">
      <c r="A1035" s="2"/>
      <c r="B1035" s="25"/>
      <c r="C1035" s="8"/>
      <c r="D1035" s="1261"/>
      <c r="E1035" s="1261"/>
      <c r="F1035" s="1261"/>
      <c r="G1035" s="1261"/>
      <c r="H1035" s="1261"/>
      <c r="I1035" s="1261"/>
      <c r="J1035" s="1261"/>
      <c r="K1035" s="1261"/>
      <c r="L1035" s="1261"/>
      <c r="M1035" s="1261"/>
      <c r="N1035" s="1261"/>
      <c r="O1035" s="1261"/>
      <c r="P1035" s="1261"/>
      <c r="Q1035" s="1261"/>
      <c r="R1035" s="1261"/>
      <c r="S1035" s="1261"/>
      <c r="T1035" s="1261"/>
      <c r="U1035" s="1261"/>
      <c r="V1035" s="1261"/>
      <c r="W1035" s="1261"/>
      <c r="X1035" s="1261"/>
      <c r="Y1035" s="1261"/>
      <c r="Z1035" s="1261"/>
      <c r="AA1035" s="1261"/>
      <c r="AB1035" s="1261"/>
      <c r="AC1035" s="1261"/>
      <c r="AD1035" s="1261"/>
      <c r="AE1035" s="1261"/>
      <c r="AF1035" s="1261"/>
      <c r="AG1035" s="1261"/>
      <c r="AH1035" s="1261"/>
      <c r="AI1035" s="1261"/>
      <c r="AJ1035" s="1261"/>
      <c r="AK1035" s="1261"/>
      <c r="AL1035" s="68"/>
      <c r="AM1035" s="68"/>
      <c r="AN1035" s="68"/>
      <c r="AO1035" s="68"/>
      <c r="AP1035" s="68"/>
      <c r="AQ1035" s="68"/>
      <c r="AR1035" s="68"/>
      <c r="AS1035" s="68"/>
      <c r="AT1035" s="68"/>
      <c r="AU1035" s="68"/>
      <c r="AV1035" s="68"/>
      <c r="AW1035" s="68"/>
      <c r="AX1035" s="68"/>
      <c r="AY1035" s="68"/>
    </row>
    <row r="1036" spans="1:51" ht="12.9" customHeight="1">
      <c r="A1036" s="1374" t="s">
        <v>601</v>
      </c>
      <c r="B1036" s="1374"/>
      <c r="C1036" s="8">
        <v>2</v>
      </c>
      <c r="D1036" s="1261" t="s">
        <v>1168</v>
      </c>
      <c r="E1036" s="1261"/>
      <c r="F1036" s="1261"/>
      <c r="G1036" s="1261"/>
      <c r="H1036" s="1261"/>
      <c r="I1036" s="1261"/>
      <c r="J1036" s="1261"/>
      <c r="K1036" s="1261"/>
      <c r="L1036" s="1261"/>
      <c r="M1036" s="1261"/>
      <c r="N1036" s="1261"/>
      <c r="O1036" s="1261"/>
      <c r="P1036" s="1261"/>
      <c r="Q1036" s="1261"/>
      <c r="R1036" s="1261"/>
      <c r="S1036" s="1261"/>
      <c r="T1036" s="1261"/>
      <c r="U1036" s="1261"/>
      <c r="V1036" s="1261"/>
      <c r="W1036" s="1261"/>
      <c r="X1036" s="1261"/>
      <c r="Y1036" s="1261"/>
      <c r="Z1036" s="1261"/>
      <c r="AA1036" s="1261"/>
      <c r="AB1036" s="1261"/>
      <c r="AC1036" s="1261"/>
      <c r="AD1036" s="1261"/>
      <c r="AE1036" s="1261"/>
      <c r="AF1036" s="1261"/>
      <c r="AG1036" s="1261"/>
      <c r="AH1036" s="1261"/>
      <c r="AI1036" s="1261"/>
      <c r="AJ1036" s="1261"/>
      <c r="AK1036" s="1261"/>
      <c r="AL1036" s="68"/>
      <c r="AM1036" s="68"/>
      <c r="AN1036" s="68"/>
      <c r="AO1036" s="68"/>
      <c r="AP1036" s="68"/>
      <c r="AQ1036" s="68"/>
      <c r="AR1036" s="68"/>
      <c r="AS1036" s="68"/>
      <c r="AT1036" s="68"/>
      <c r="AU1036" s="68"/>
      <c r="AV1036" s="68"/>
      <c r="AW1036" s="68"/>
      <c r="AX1036" s="68"/>
      <c r="AY1036" s="68"/>
    </row>
    <row r="1037" spans="1:51" ht="12.9" customHeight="1">
      <c r="A1037" s="1"/>
      <c r="B1037" s="1"/>
      <c r="C1037" s="8"/>
      <c r="D1037" s="1261"/>
      <c r="E1037" s="1261"/>
      <c r="F1037" s="1261"/>
      <c r="G1037" s="1261"/>
      <c r="H1037" s="1261"/>
      <c r="I1037" s="1261"/>
      <c r="J1037" s="1261"/>
      <c r="K1037" s="1261"/>
      <c r="L1037" s="1261"/>
      <c r="M1037" s="1261"/>
      <c r="N1037" s="1261"/>
      <c r="O1037" s="1261"/>
      <c r="P1037" s="1261"/>
      <c r="Q1037" s="1261"/>
      <c r="R1037" s="1261"/>
      <c r="S1037" s="1261"/>
      <c r="T1037" s="1261"/>
      <c r="U1037" s="1261"/>
      <c r="V1037" s="1261"/>
      <c r="W1037" s="1261"/>
      <c r="X1037" s="1261"/>
      <c r="Y1037" s="1261"/>
      <c r="Z1037" s="1261"/>
      <c r="AA1037" s="1261"/>
      <c r="AB1037" s="1261"/>
      <c r="AC1037" s="1261"/>
      <c r="AD1037" s="1261"/>
      <c r="AE1037" s="1261"/>
      <c r="AF1037" s="1261"/>
      <c r="AG1037" s="1261"/>
      <c r="AH1037" s="1261"/>
      <c r="AI1037" s="1261"/>
      <c r="AJ1037" s="1261"/>
      <c r="AK1037" s="1261"/>
      <c r="AL1037" s="68"/>
      <c r="AM1037" s="68"/>
      <c r="AN1037" s="68"/>
      <c r="AO1037" s="68"/>
      <c r="AP1037" s="68"/>
      <c r="AQ1037" s="68"/>
      <c r="AR1037" s="68"/>
      <c r="AS1037" s="68"/>
      <c r="AT1037" s="68"/>
      <c r="AU1037" s="68"/>
      <c r="AV1037" s="68"/>
      <c r="AW1037" s="68"/>
      <c r="AX1037" s="68"/>
      <c r="AY1037" s="68"/>
    </row>
    <row r="1038" spans="1:51" ht="12.9" customHeight="1">
      <c r="A1038" s="1"/>
      <c r="B1038" s="1"/>
      <c r="C1038" s="8"/>
      <c r="D1038" s="1261"/>
      <c r="E1038" s="1261"/>
      <c r="F1038" s="1261"/>
      <c r="G1038" s="1261"/>
      <c r="H1038" s="1261"/>
      <c r="I1038" s="1261"/>
      <c r="J1038" s="1261"/>
      <c r="K1038" s="1261"/>
      <c r="L1038" s="1261"/>
      <c r="M1038" s="1261"/>
      <c r="N1038" s="1261"/>
      <c r="O1038" s="1261"/>
      <c r="P1038" s="1261"/>
      <c r="Q1038" s="1261"/>
      <c r="R1038" s="1261"/>
      <c r="S1038" s="1261"/>
      <c r="T1038" s="1261"/>
      <c r="U1038" s="1261"/>
      <c r="V1038" s="1261"/>
      <c r="W1038" s="1261"/>
      <c r="X1038" s="1261"/>
      <c r="Y1038" s="1261"/>
      <c r="Z1038" s="1261"/>
      <c r="AA1038" s="1261"/>
      <c r="AB1038" s="1261"/>
      <c r="AC1038" s="1261"/>
      <c r="AD1038" s="1261"/>
      <c r="AE1038" s="1261"/>
      <c r="AF1038" s="1261"/>
      <c r="AG1038" s="1261"/>
      <c r="AH1038" s="1261"/>
      <c r="AI1038" s="1261"/>
      <c r="AJ1038" s="1261"/>
      <c r="AK1038" s="1261"/>
      <c r="AL1038" s="68"/>
      <c r="AM1038" s="68"/>
      <c r="AN1038" s="68"/>
      <c r="AO1038" s="68"/>
      <c r="AP1038" s="68"/>
      <c r="AQ1038" s="68"/>
      <c r="AR1038" s="68"/>
      <c r="AS1038" s="68"/>
      <c r="AT1038" s="68"/>
      <c r="AU1038" s="68"/>
      <c r="AV1038" s="68"/>
      <c r="AW1038" s="68"/>
      <c r="AX1038" s="68"/>
      <c r="AY1038" s="68"/>
    </row>
    <row r="1039" spans="1:51" ht="12.9" customHeight="1">
      <c r="A1039" s="1"/>
      <c r="B1039" s="1"/>
      <c r="C1039" s="8"/>
      <c r="D1039" s="1261"/>
      <c r="E1039" s="1261"/>
      <c r="F1039" s="1261"/>
      <c r="G1039" s="1261"/>
      <c r="H1039" s="1261"/>
      <c r="I1039" s="1261"/>
      <c r="J1039" s="1261"/>
      <c r="K1039" s="1261"/>
      <c r="L1039" s="1261"/>
      <c r="M1039" s="1261"/>
      <c r="N1039" s="1261"/>
      <c r="O1039" s="1261"/>
      <c r="P1039" s="1261"/>
      <c r="Q1039" s="1261"/>
      <c r="R1039" s="1261"/>
      <c r="S1039" s="1261"/>
      <c r="T1039" s="1261"/>
      <c r="U1039" s="1261"/>
      <c r="V1039" s="1261"/>
      <c r="W1039" s="1261"/>
      <c r="X1039" s="1261"/>
      <c r="Y1039" s="1261"/>
      <c r="Z1039" s="1261"/>
      <c r="AA1039" s="1261"/>
      <c r="AB1039" s="1261"/>
      <c r="AC1039" s="1261"/>
      <c r="AD1039" s="1261"/>
      <c r="AE1039" s="1261"/>
      <c r="AF1039" s="1261"/>
      <c r="AG1039" s="1261"/>
      <c r="AH1039" s="1261"/>
      <c r="AI1039" s="1261"/>
      <c r="AJ1039" s="1261"/>
      <c r="AK1039" s="1261"/>
      <c r="AL1039" s="68"/>
      <c r="AM1039" s="68"/>
      <c r="AN1039" s="68"/>
      <c r="AO1039" s="68"/>
      <c r="AP1039" s="68"/>
      <c r="AQ1039" s="68"/>
      <c r="AR1039" s="68"/>
      <c r="AS1039" s="68"/>
      <c r="AT1039" s="68"/>
      <c r="AU1039" s="68"/>
      <c r="AV1039" s="68"/>
      <c r="AW1039" s="68"/>
      <c r="AX1039" s="68"/>
      <c r="AY1039" s="68"/>
    </row>
    <row r="1040" spans="1:51" ht="12.9" customHeight="1">
      <c r="A1040" s="1"/>
      <c r="B1040" s="1"/>
      <c r="C1040" s="8"/>
      <c r="D1040" s="1261"/>
      <c r="E1040" s="1261"/>
      <c r="F1040" s="1261"/>
      <c r="G1040" s="1261"/>
      <c r="H1040" s="1261"/>
      <c r="I1040" s="1261"/>
      <c r="J1040" s="1261"/>
      <c r="K1040" s="1261"/>
      <c r="L1040" s="1261"/>
      <c r="M1040" s="1261"/>
      <c r="N1040" s="1261"/>
      <c r="O1040" s="1261"/>
      <c r="P1040" s="1261"/>
      <c r="Q1040" s="1261"/>
      <c r="R1040" s="1261"/>
      <c r="S1040" s="1261"/>
      <c r="T1040" s="1261"/>
      <c r="U1040" s="1261"/>
      <c r="V1040" s="1261"/>
      <c r="W1040" s="1261"/>
      <c r="X1040" s="1261"/>
      <c r="Y1040" s="1261"/>
      <c r="Z1040" s="1261"/>
      <c r="AA1040" s="1261"/>
      <c r="AB1040" s="1261"/>
      <c r="AC1040" s="1261"/>
      <c r="AD1040" s="1261"/>
      <c r="AE1040" s="1261"/>
      <c r="AF1040" s="1261"/>
      <c r="AG1040" s="1261"/>
      <c r="AH1040" s="1261"/>
      <c r="AI1040" s="1261"/>
      <c r="AJ1040" s="1261"/>
      <c r="AK1040" s="1261"/>
      <c r="AL1040" s="68"/>
      <c r="AM1040" s="68"/>
      <c r="AN1040" s="68"/>
      <c r="AO1040" s="68"/>
      <c r="AP1040" s="68"/>
      <c r="AQ1040" s="68"/>
      <c r="AR1040" s="68"/>
      <c r="AS1040" s="68"/>
      <c r="AT1040" s="68"/>
      <c r="AU1040" s="68"/>
      <c r="AV1040" s="68"/>
      <c r="AW1040" s="68"/>
      <c r="AX1040" s="68"/>
      <c r="AY1040" s="68"/>
    </row>
    <row r="1041" spans="1:37" ht="12.9" customHeight="1">
      <c r="A1041" s="1"/>
      <c r="B1041" s="1"/>
      <c r="C1041" s="8"/>
      <c r="D1041" s="1261"/>
      <c r="E1041" s="1261"/>
      <c r="F1041" s="1261"/>
      <c r="G1041" s="1261"/>
      <c r="H1041" s="1261"/>
      <c r="I1041" s="1261"/>
      <c r="J1041" s="1261"/>
      <c r="K1041" s="1261"/>
      <c r="L1041" s="1261"/>
      <c r="M1041" s="1261"/>
      <c r="N1041" s="1261"/>
      <c r="O1041" s="1261"/>
      <c r="P1041" s="1261"/>
      <c r="Q1041" s="1261"/>
      <c r="R1041" s="1261"/>
      <c r="S1041" s="1261"/>
      <c r="T1041" s="1261"/>
      <c r="U1041" s="1261"/>
      <c r="V1041" s="1261"/>
      <c r="W1041" s="1261"/>
      <c r="X1041" s="1261"/>
      <c r="Y1041" s="1261"/>
      <c r="Z1041" s="1261"/>
      <c r="AA1041" s="1261"/>
      <c r="AB1041" s="1261"/>
      <c r="AC1041" s="1261"/>
      <c r="AD1041" s="1261"/>
      <c r="AE1041" s="1261"/>
      <c r="AF1041" s="1261"/>
      <c r="AG1041" s="1261"/>
      <c r="AH1041" s="1261"/>
      <c r="AI1041" s="1261"/>
      <c r="AJ1041" s="1261"/>
      <c r="AK1041" s="1261"/>
    </row>
    <row r="1042" spans="1:37" ht="12.9" customHeight="1">
      <c r="A1042" s="1374" t="s">
        <v>601</v>
      </c>
      <c r="B1042" s="1374"/>
      <c r="C1042" s="8">
        <v>3</v>
      </c>
      <c r="D1042" s="1261" t="s">
        <v>2559</v>
      </c>
      <c r="E1042" s="1261"/>
      <c r="F1042" s="1261"/>
      <c r="G1042" s="1261"/>
      <c r="H1042" s="1261"/>
      <c r="I1042" s="1261"/>
      <c r="J1042" s="1261"/>
      <c r="K1042" s="1261"/>
      <c r="L1042" s="1261"/>
      <c r="M1042" s="1261"/>
      <c r="N1042" s="1261"/>
      <c r="O1042" s="1261"/>
      <c r="P1042" s="1261"/>
      <c r="Q1042" s="1261"/>
      <c r="R1042" s="1261"/>
      <c r="S1042" s="1261"/>
      <c r="T1042" s="1261"/>
      <c r="U1042" s="1261"/>
      <c r="V1042" s="1261"/>
      <c r="W1042" s="1261"/>
      <c r="X1042" s="1261"/>
      <c r="Y1042" s="1261"/>
      <c r="Z1042" s="1261"/>
      <c r="AA1042" s="1261"/>
      <c r="AB1042" s="1261"/>
      <c r="AC1042" s="1261"/>
      <c r="AD1042" s="1261"/>
      <c r="AE1042" s="1261"/>
      <c r="AF1042" s="1261"/>
      <c r="AG1042" s="1261"/>
      <c r="AH1042" s="1261"/>
      <c r="AI1042" s="1261"/>
      <c r="AJ1042" s="1261"/>
      <c r="AK1042" s="1261"/>
    </row>
    <row r="1043" spans="1:37" ht="12.9" customHeight="1">
      <c r="A1043" s="4"/>
      <c r="B1043" s="4"/>
      <c r="C1043" s="8"/>
      <c r="D1043" s="1261"/>
      <c r="E1043" s="1261"/>
      <c r="F1043" s="1261"/>
      <c r="G1043" s="1261"/>
      <c r="H1043" s="1261"/>
      <c r="I1043" s="1261"/>
      <c r="J1043" s="1261"/>
      <c r="K1043" s="1261"/>
      <c r="L1043" s="1261"/>
      <c r="M1043" s="1261"/>
      <c r="N1043" s="1261"/>
      <c r="O1043" s="1261"/>
      <c r="P1043" s="1261"/>
      <c r="Q1043" s="1261"/>
      <c r="R1043" s="1261"/>
      <c r="S1043" s="1261"/>
      <c r="T1043" s="1261"/>
      <c r="U1043" s="1261"/>
      <c r="V1043" s="1261"/>
      <c r="W1043" s="1261"/>
      <c r="X1043" s="1261"/>
      <c r="Y1043" s="1261"/>
      <c r="Z1043" s="1261"/>
      <c r="AA1043" s="1261"/>
      <c r="AB1043" s="1261"/>
      <c r="AC1043" s="1261"/>
      <c r="AD1043" s="1261"/>
      <c r="AE1043" s="1261"/>
      <c r="AF1043" s="1261"/>
      <c r="AG1043" s="1261"/>
      <c r="AH1043" s="1261"/>
      <c r="AI1043" s="1261"/>
      <c r="AJ1043" s="1261"/>
      <c r="AK1043" s="1261"/>
    </row>
    <row r="1044" spans="1:37" ht="12.9" customHeight="1">
      <c r="A1044" s="4"/>
      <c r="B1044" s="4"/>
      <c r="C1044" s="8"/>
      <c r="D1044" s="1261"/>
      <c r="E1044" s="1261"/>
      <c r="F1044" s="1261"/>
      <c r="G1044" s="1261"/>
      <c r="H1044" s="1261"/>
      <c r="I1044" s="1261"/>
      <c r="J1044" s="1261"/>
      <c r="K1044" s="1261"/>
      <c r="L1044" s="1261"/>
      <c r="M1044" s="1261"/>
      <c r="N1044" s="1261"/>
      <c r="O1044" s="1261"/>
      <c r="P1044" s="1261"/>
      <c r="Q1044" s="1261"/>
      <c r="R1044" s="1261"/>
      <c r="S1044" s="1261"/>
      <c r="T1044" s="1261"/>
      <c r="U1044" s="1261"/>
      <c r="V1044" s="1261"/>
      <c r="W1044" s="1261"/>
      <c r="X1044" s="1261"/>
      <c r="Y1044" s="1261"/>
      <c r="Z1044" s="1261"/>
      <c r="AA1044" s="1261"/>
      <c r="AB1044" s="1261"/>
      <c r="AC1044" s="1261"/>
      <c r="AD1044" s="1261"/>
      <c r="AE1044" s="1261"/>
      <c r="AF1044" s="1261"/>
      <c r="AG1044" s="1261"/>
      <c r="AH1044" s="1261"/>
      <c r="AI1044" s="1261"/>
      <c r="AJ1044" s="1261"/>
      <c r="AK1044" s="1261"/>
    </row>
    <row r="1045" spans="1:37" ht="12.9" customHeight="1">
      <c r="A1045" s="35"/>
      <c r="B1045" s="25"/>
      <c r="C1045" s="8"/>
      <c r="D1045" s="1261"/>
      <c r="E1045" s="1261"/>
      <c r="F1045" s="1261"/>
      <c r="G1045" s="1261"/>
      <c r="H1045" s="1261"/>
      <c r="I1045" s="1261"/>
      <c r="J1045" s="1261"/>
      <c r="K1045" s="1261"/>
      <c r="L1045" s="1261"/>
      <c r="M1045" s="1261"/>
      <c r="N1045" s="1261"/>
      <c r="O1045" s="1261"/>
      <c r="P1045" s="1261"/>
      <c r="Q1045" s="1261"/>
      <c r="R1045" s="1261"/>
      <c r="S1045" s="1261"/>
      <c r="T1045" s="1261"/>
      <c r="U1045" s="1261"/>
      <c r="V1045" s="1261"/>
      <c r="W1045" s="1261"/>
      <c r="X1045" s="1261"/>
      <c r="Y1045" s="1261"/>
      <c r="Z1045" s="1261"/>
      <c r="AA1045" s="1261"/>
      <c r="AB1045" s="1261"/>
      <c r="AC1045" s="1261"/>
      <c r="AD1045" s="1261"/>
      <c r="AE1045" s="1261"/>
      <c r="AF1045" s="1261"/>
      <c r="AG1045" s="1261"/>
      <c r="AH1045" s="1261"/>
      <c r="AI1045" s="1261"/>
      <c r="AJ1045" s="1261"/>
      <c r="AK1045" s="1261"/>
    </row>
    <row r="1046" spans="1:37" ht="12.9" customHeight="1">
      <c r="A1046" s="35"/>
      <c r="B1046" s="25"/>
      <c r="C1046" s="8"/>
      <c r="D1046" s="1261"/>
      <c r="E1046" s="1261"/>
      <c r="F1046" s="1261"/>
      <c r="G1046" s="1261"/>
      <c r="H1046" s="1261"/>
      <c r="I1046" s="1261"/>
      <c r="J1046" s="1261"/>
      <c r="K1046" s="1261"/>
      <c r="L1046" s="1261"/>
      <c r="M1046" s="1261"/>
      <c r="N1046" s="1261"/>
      <c r="O1046" s="1261"/>
      <c r="P1046" s="1261"/>
      <c r="Q1046" s="1261"/>
      <c r="R1046" s="1261"/>
      <c r="S1046" s="1261"/>
      <c r="T1046" s="1261"/>
      <c r="U1046" s="1261"/>
      <c r="V1046" s="1261"/>
      <c r="W1046" s="1261"/>
      <c r="X1046" s="1261"/>
      <c r="Y1046" s="1261"/>
      <c r="Z1046" s="1261"/>
      <c r="AA1046" s="1261"/>
      <c r="AB1046" s="1261"/>
      <c r="AC1046" s="1261"/>
      <c r="AD1046" s="1261"/>
      <c r="AE1046" s="1261"/>
      <c r="AF1046" s="1261"/>
      <c r="AG1046" s="1261"/>
      <c r="AH1046" s="1261"/>
      <c r="AI1046" s="1261"/>
      <c r="AJ1046" s="1261"/>
      <c r="AK1046" s="1261"/>
    </row>
    <row r="1047" spans="1:37" ht="12.9" customHeight="1">
      <c r="A1047" s="35"/>
      <c r="B1047" s="25"/>
      <c r="C1047" s="8"/>
      <c r="D1047" s="1261"/>
      <c r="E1047" s="1261"/>
      <c r="F1047" s="1261"/>
      <c r="G1047" s="1261"/>
      <c r="H1047" s="1261"/>
      <c r="I1047" s="1261"/>
      <c r="J1047" s="1261"/>
      <c r="K1047" s="1261"/>
      <c r="L1047" s="1261"/>
      <c r="M1047" s="1261"/>
      <c r="N1047" s="1261"/>
      <c r="O1047" s="1261"/>
      <c r="P1047" s="1261"/>
      <c r="Q1047" s="1261"/>
      <c r="R1047" s="1261"/>
      <c r="S1047" s="1261"/>
      <c r="T1047" s="1261"/>
      <c r="U1047" s="1261"/>
      <c r="V1047" s="1261"/>
      <c r="W1047" s="1261"/>
      <c r="X1047" s="1261"/>
      <c r="Y1047" s="1261"/>
      <c r="Z1047" s="1261"/>
      <c r="AA1047" s="1261"/>
      <c r="AB1047" s="1261"/>
      <c r="AC1047" s="1261"/>
      <c r="AD1047" s="1261"/>
      <c r="AE1047" s="1261"/>
      <c r="AF1047" s="1261"/>
      <c r="AG1047" s="1261"/>
      <c r="AH1047" s="1261"/>
      <c r="AI1047" s="1261"/>
      <c r="AJ1047" s="1261"/>
      <c r="AK1047" s="1261"/>
    </row>
    <row r="1048" spans="1:37" ht="12.9" customHeight="1">
      <c r="A1048" s="35"/>
      <c r="B1048" s="25"/>
      <c r="C1048" s="8"/>
      <c r="D1048" s="1261"/>
      <c r="E1048" s="1261"/>
      <c r="F1048" s="1261"/>
      <c r="G1048" s="1261"/>
      <c r="H1048" s="1261"/>
      <c r="I1048" s="1261"/>
      <c r="J1048" s="1261"/>
      <c r="K1048" s="1261"/>
      <c r="L1048" s="1261"/>
      <c r="M1048" s="1261"/>
      <c r="N1048" s="1261"/>
      <c r="O1048" s="1261"/>
      <c r="P1048" s="1261"/>
      <c r="Q1048" s="1261"/>
      <c r="R1048" s="1261"/>
      <c r="S1048" s="1261"/>
      <c r="T1048" s="1261"/>
      <c r="U1048" s="1261"/>
      <c r="V1048" s="1261"/>
      <c r="W1048" s="1261"/>
      <c r="X1048" s="1261"/>
      <c r="Y1048" s="1261"/>
      <c r="Z1048" s="1261"/>
      <c r="AA1048" s="1261"/>
      <c r="AB1048" s="1261"/>
      <c r="AC1048" s="1261"/>
      <c r="AD1048" s="1261"/>
      <c r="AE1048" s="1261"/>
      <c r="AF1048" s="1261"/>
      <c r="AG1048" s="1261"/>
      <c r="AH1048" s="1261"/>
      <c r="AI1048" s="1261"/>
      <c r="AJ1048" s="1261"/>
      <c r="AK1048" s="1261"/>
    </row>
    <row r="1049" spans="1:37" ht="12.9" customHeight="1">
      <c r="A1049" s="1374" t="s">
        <v>601</v>
      </c>
      <c r="B1049" s="1374"/>
      <c r="C1049" s="8">
        <v>4</v>
      </c>
      <c r="D1049" s="1261" t="s">
        <v>1154</v>
      </c>
      <c r="E1049" s="1261"/>
      <c r="F1049" s="1261"/>
      <c r="G1049" s="1261"/>
      <c r="H1049" s="1261"/>
      <c r="I1049" s="1261"/>
      <c r="J1049" s="1261"/>
      <c r="K1049" s="1261"/>
      <c r="L1049" s="1261"/>
      <c r="M1049" s="1261"/>
      <c r="N1049" s="1261"/>
      <c r="O1049" s="1261"/>
      <c r="P1049" s="1261"/>
      <c r="Q1049" s="1261"/>
      <c r="R1049" s="1261"/>
      <c r="S1049" s="1261"/>
      <c r="T1049" s="1261"/>
      <c r="U1049" s="1261"/>
      <c r="V1049" s="1261"/>
      <c r="W1049" s="1261"/>
      <c r="X1049" s="1261"/>
      <c r="Y1049" s="1261"/>
      <c r="Z1049" s="1261"/>
      <c r="AA1049" s="1261"/>
      <c r="AB1049" s="1261"/>
      <c r="AC1049" s="1261"/>
      <c r="AD1049" s="1261"/>
      <c r="AE1049" s="1261"/>
      <c r="AF1049" s="1261"/>
      <c r="AG1049" s="1261"/>
      <c r="AH1049" s="1261"/>
      <c r="AI1049" s="1261"/>
      <c r="AJ1049" s="1261"/>
      <c r="AK1049" s="1261"/>
    </row>
    <row r="1050" spans="1:37" ht="12.9" customHeight="1">
      <c r="A1050" s="1"/>
      <c r="B1050" s="1"/>
      <c r="C1050" s="8"/>
      <c r="D1050" s="1261"/>
      <c r="E1050" s="1261"/>
      <c r="F1050" s="1261"/>
      <c r="G1050" s="1261"/>
      <c r="H1050" s="1261"/>
      <c r="I1050" s="1261"/>
      <c r="J1050" s="1261"/>
      <c r="K1050" s="1261"/>
      <c r="L1050" s="1261"/>
      <c r="M1050" s="1261"/>
      <c r="N1050" s="1261"/>
      <c r="O1050" s="1261"/>
      <c r="P1050" s="1261"/>
      <c r="Q1050" s="1261"/>
      <c r="R1050" s="1261"/>
      <c r="S1050" s="1261"/>
      <c r="T1050" s="1261"/>
      <c r="U1050" s="1261"/>
      <c r="V1050" s="1261"/>
      <c r="W1050" s="1261"/>
      <c r="X1050" s="1261"/>
      <c r="Y1050" s="1261"/>
      <c r="Z1050" s="1261"/>
      <c r="AA1050" s="1261"/>
      <c r="AB1050" s="1261"/>
      <c r="AC1050" s="1261"/>
      <c r="AD1050" s="1261"/>
      <c r="AE1050" s="1261"/>
      <c r="AF1050" s="1261"/>
      <c r="AG1050" s="1261"/>
      <c r="AH1050" s="1261"/>
      <c r="AI1050" s="1261"/>
      <c r="AJ1050" s="1261"/>
      <c r="AK1050" s="1261"/>
    </row>
    <row r="1051" spans="1:37" ht="12.9" customHeight="1">
      <c r="A1051" s="35"/>
      <c r="B1051" s="25"/>
      <c r="C1051" s="8"/>
      <c r="D1051" s="1261"/>
      <c r="E1051" s="1261"/>
      <c r="F1051" s="1261"/>
      <c r="G1051" s="1261"/>
      <c r="H1051" s="1261"/>
      <c r="I1051" s="1261"/>
      <c r="J1051" s="1261"/>
      <c r="K1051" s="1261"/>
      <c r="L1051" s="1261"/>
      <c r="M1051" s="1261"/>
      <c r="N1051" s="1261"/>
      <c r="O1051" s="1261"/>
      <c r="P1051" s="1261"/>
      <c r="Q1051" s="1261"/>
      <c r="R1051" s="1261"/>
      <c r="S1051" s="1261"/>
      <c r="T1051" s="1261"/>
      <c r="U1051" s="1261"/>
      <c r="V1051" s="1261"/>
      <c r="W1051" s="1261"/>
      <c r="X1051" s="1261"/>
      <c r="Y1051" s="1261"/>
      <c r="Z1051" s="1261"/>
      <c r="AA1051" s="1261"/>
      <c r="AB1051" s="1261"/>
      <c r="AC1051" s="1261"/>
      <c r="AD1051" s="1261"/>
      <c r="AE1051" s="1261"/>
      <c r="AF1051" s="1261"/>
      <c r="AG1051" s="1261"/>
      <c r="AH1051" s="1261"/>
      <c r="AI1051" s="1261"/>
      <c r="AJ1051" s="1261"/>
      <c r="AK1051" s="1261"/>
    </row>
    <row r="1052" spans="1:37" ht="12.9" customHeight="1">
      <c r="A1052" s="1374" t="s">
        <v>601</v>
      </c>
      <c r="B1052" s="1374"/>
      <c r="C1052" s="8">
        <v>5</v>
      </c>
      <c r="D1052" s="1261" t="s">
        <v>2560</v>
      </c>
      <c r="E1052" s="1261"/>
      <c r="F1052" s="1261"/>
      <c r="G1052" s="1261"/>
      <c r="H1052" s="1261"/>
      <c r="I1052" s="1261"/>
      <c r="J1052" s="1261"/>
      <c r="K1052" s="1261"/>
      <c r="L1052" s="1261"/>
      <c r="M1052" s="1261"/>
      <c r="N1052" s="1261"/>
      <c r="O1052" s="1261"/>
      <c r="P1052" s="1261"/>
      <c r="Q1052" s="1261"/>
      <c r="R1052" s="1261"/>
      <c r="S1052" s="1261"/>
      <c r="T1052" s="1261"/>
      <c r="U1052" s="1261"/>
      <c r="V1052" s="1261"/>
      <c r="W1052" s="1261"/>
      <c r="X1052" s="1261"/>
      <c r="Y1052" s="1261"/>
      <c r="Z1052" s="1261"/>
      <c r="AA1052" s="1261"/>
      <c r="AB1052" s="1261"/>
      <c r="AC1052" s="1261"/>
      <c r="AD1052" s="1261"/>
      <c r="AE1052" s="1261"/>
      <c r="AF1052" s="1261"/>
      <c r="AG1052" s="1261"/>
      <c r="AH1052" s="1261"/>
      <c r="AI1052" s="1261"/>
      <c r="AJ1052" s="1261"/>
      <c r="AK1052" s="1261"/>
    </row>
    <row r="1053" spans="1:37" ht="12.9" customHeight="1">
      <c r="A1053" s="1"/>
      <c r="B1053" s="1"/>
      <c r="C1053" s="8"/>
      <c r="D1053" s="1261"/>
      <c r="E1053" s="1261"/>
      <c r="F1053" s="1261"/>
      <c r="G1053" s="1261"/>
      <c r="H1053" s="1261"/>
      <c r="I1053" s="1261"/>
      <c r="J1053" s="1261"/>
      <c r="K1053" s="1261"/>
      <c r="L1053" s="1261"/>
      <c r="M1053" s="1261"/>
      <c r="N1053" s="1261"/>
      <c r="O1053" s="1261"/>
      <c r="P1053" s="1261"/>
      <c r="Q1053" s="1261"/>
      <c r="R1053" s="1261"/>
      <c r="S1053" s="1261"/>
      <c r="T1053" s="1261"/>
      <c r="U1053" s="1261"/>
      <c r="V1053" s="1261"/>
      <c r="W1053" s="1261"/>
      <c r="X1053" s="1261"/>
      <c r="Y1053" s="1261"/>
      <c r="Z1053" s="1261"/>
      <c r="AA1053" s="1261"/>
      <c r="AB1053" s="1261"/>
      <c r="AC1053" s="1261"/>
      <c r="AD1053" s="1261"/>
      <c r="AE1053" s="1261"/>
      <c r="AF1053" s="1261"/>
      <c r="AG1053" s="1261"/>
      <c r="AH1053" s="1261"/>
      <c r="AI1053" s="1261"/>
      <c r="AJ1053" s="1261"/>
      <c r="AK1053" s="1261"/>
    </row>
    <row r="1054" spans="1:37" ht="12.9" customHeight="1">
      <c r="A1054" s="1"/>
      <c r="B1054" s="1"/>
      <c r="C1054" s="8"/>
      <c r="D1054" s="1261"/>
      <c r="E1054" s="1261"/>
      <c r="F1054" s="1261"/>
      <c r="G1054" s="1261"/>
      <c r="H1054" s="1261"/>
      <c r="I1054" s="1261"/>
      <c r="J1054" s="1261"/>
      <c r="K1054" s="1261"/>
      <c r="L1054" s="1261"/>
      <c r="M1054" s="1261"/>
      <c r="N1054" s="1261"/>
      <c r="O1054" s="1261"/>
      <c r="P1054" s="1261"/>
      <c r="Q1054" s="1261"/>
      <c r="R1054" s="1261"/>
      <c r="S1054" s="1261"/>
      <c r="T1054" s="1261"/>
      <c r="U1054" s="1261"/>
      <c r="V1054" s="1261"/>
      <c r="W1054" s="1261"/>
      <c r="X1054" s="1261"/>
      <c r="Y1054" s="1261"/>
      <c r="Z1054" s="1261"/>
      <c r="AA1054" s="1261"/>
      <c r="AB1054" s="1261"/>
      <c r="AC1054" s="1261"/>
      <c r="AD1054" s="1261"/>
      <c r="AE1054" s="1261"/>
      <c r="AF1054" s="1261"/>
      <c r="AG1054" s="1261"/>
      <c r="AH1054" s="1261"/>
      <c r="AI1054" s="1261"/>
      <c r="AJ1054" s="1261"/>
      <c r="AK1054" s="1261"/>
    </row>
    <row r="1055" spans="1:37" ht="12.9" hidden="1" customHeight="1">
      <c r="A1055" s="1"/>
      <c r="B1055" s="1"/>
      <c r="C1055" s="8"/>
      <c r="D1055" s="1261"/>
      <c r="E1055" s="1261"/>
      <c r="F1055" s="1261"/>
      <c r="G1055" s="1261"/>
      <c r="H1055" s="1261"/>
      <c r="I1055" s="1261"/>
      <c r="J1055" s="1261"/>
      <c r="K1055" s="1261"/>
      <c r="L1055" s="1261"/>
      <c r="M1055" s="1261"/>
      <c r="N1055" s="1261"/>
      <c r="O1055" s="1261"/>
      <c r="P1055" s="1261"/>
      <c r="Q1055" s="1261"/>
      <c r="R1055" s="1261"/>
      <c r="S1055" s="1261"/>
      <c r="T1055" s="1261"/>
      <c r="U1055" s="1261"/>
      <c r="V1055" s="1261"/>
      <c r="W1055" s="1261"/>
      <c r="X1055" s="1261"/>
      <c r="Y1055" s="1261"/>
      <c r="Z1055" s="1261"/>
      <c r="AA1055" s="1261"/>
      <c r="AB1055" s="1261"/>
      <c r="AC1055" s="1261"/>
      <c r="AD1055" s="1261"/>
      <c r="AE1055" s="1261"/>
      <c r="AF1055" s="1261"/>
      <c r="AG1055" s="1261"/>
      <c r="AH1055" s="1261"/>
      <c r="AI1055" s="1261"/>
      <c r="AJ1055" s="1261"/>
      <c r="AK1055" s="1261"/>
    </row>
    <row r="1056" spans="1:37" ht="12.9" customHeight="1">
      <c r="A1056" s="35"/>
      <c r="B1056" s="25"/>
      <c r="C1056" s="8"/>
      <c r="D1056" s="1261"/>
      <c r="E1056" s="1261"/>
      <c r="F1056" s="1261"/>
      <c r="G1056" s="1261"/>
      <c r="H1056" s="1261"/>
      <c r="I1056" s="1261"/>
      <c r="J1056" s="1261"/>
      <c r="K1056" s="1261"/>
      <c r="L1056" s="1261"/>
      <c r="M1056" s="1261"/>
      <c r="N1056" s="1261"/>
      <c r="O1056" s="1261"/>
      <c r="P1056" s="1261"/>
      <c r="Q1056" s="1261"/>
      <c r="R1056" s="1261"/>
      <c r="S1056" s="1261"/>
      <c r="T1056" s="1261"/>
      <c r="U1056" s="1261"/>
      <c r="V1056" s="1261"/>
      <c r="W1056" s="1261"/>
      <c r="X1056" s="1261"/>
      <c r="Y1056" s="1261"/>
      <c r="Z1056" s="1261"/>
      <c r="AA1056" s="1261"/>
      <c r="AB1056" s="1261"/>
      <c r="AC1056" s="1261"/>
      <c r="AD1056" s="1261"/>
      <c r="AE1056" s="1261"/>
      <c r="AF1056" s="1261"/>
      <c r="AG1056" s="1261"/>
      <c r="AH1056" s="1261"/>
      <c r="AI1056" s="1261"/>
      <c r="AJ1056" s="1261"/>
      <c r="AK1056" s="1261"/>
    </row>
    <row r="1057" spans="1:37" ht="12.9" customHeight="1">
      <c r="A1057" s="1374" t="s">
        <v>601</v>
      </c>
      <c r="B1057" s="1374"/>
      <c r="C1057" s="8">
        <v>6</v>
      </c>
      <c r="D1057" s="1261" t="s">
        <v>1155</v>
      </c>
      <c r="E1057" s="1261"/>
      <c r="F1057" s="1261"/>
      <c r="G1057" s="1261"/>
      <c r="H1057" s="1261"/>
      <c r="I1057" s="1261"/>
      <c r="J1057" s="1261"/>
      <c r="K1057" s="1261"/>
      <c r="L1057" s="1261"/>
      <c r="M1057" s="1261"/>
      <c r="N1057" s="1261"/>
      <c r="O1057" s="1261"/>
      <c r="P1057" s="1261"/>
      <c r="Q1057" s="1261"/>
      <c r="R1057" s="1261"/>
      <c r="S1057" s="1261"/>
      <c r="T1057" s="1261"/>
      <c r="U1057" s="1261"/>
      <c r="V1057" s="1261"/>
      <c r="W1057" s="1261"/>
      <c r="X1057" s="1261"/>
      <c r="Y1057" s="1261"/>
      <c r="Z1057" s="1261"/>
      <c r="AA1057" s="1261"/>
      <c r="AB1057" s="1261"/>
      <c r="AC1057" s="1261"/>
      <c r="AD1057" s="1261"/>
      <c r="AE1057" s="1261"/>
      <c r="AF1057" s="1261"/>
      <c r="AG1057" s="1261"/>
      <c r="AH1057" s="1261"/>
      <c r="AI1057" s="1261"/>
      <c r="AJ1057" s="1261"/>
      <c r="AK1057" s="1261"/>
    </row>
    <row r="1058" spans="1:37" ht="12.9" customHeight="1">
      <c r="A1058" s="35"/>
      <c r="B1058" s="25"/>
      <c r="C1058" s="8"/>
      <c r="D1058" s="1261"/>
      <c r="E1058" s="1261"/>
      <c r="F1058" s="1261"/>
      <c r="G1058" s="1261"/>
      <c r="H1058" s="1261"/>
      <c r="I1058" s="1261"/>
      <c r="J1058" s="1261"/>
      <c r="K1058" s="1261"/>
      <c r="L1058" s="1261"/>
      <c r="M1058" s="1261"/>
      <c r="N1058" s="1261"/>
      <c r="O1058" s="1261"/>
      <c r="P1058" s="1261"/>
      <c r="Q1058" s="1261"/>
      <c r="R1058" s="1261"/>
      <c r="S1058" s="1261"/>
      <c r="T1058" s="1261"/>
      <c r="U1058" s="1261"/>
      <c r="V1058" s="1261"/>
      <c r="W1058" s="1261"/>
      <c r="X1058" s="1261"/>
      <c r="Y1058" s="1261"/>
      <c r="Z1058" s="1261"/>
      <c r="AA1058" s="1261"/>
      <c r="AB1058" s="1261"/>
      <c r="AC1058" s="1261"/>
      <c r="AD1058" s="1261"/>
      <c r="AE1058" s="1261"/>
      <c r="AF1058" s="1261"/>
      <c r="AG1058" s="1261"/>
      <c r="AH1058" s="1261"/>
      <c r="AI1058" s="1261"/>
      <c r="AJ1058" s="1261"/>
      <c r="AK1058" s="1261"/>
    </row>
    <row r="1059" spans="1:37" ht="12.9" customHeight="1">
      <c r="A1059" s="35"/>
      <c r="B1059" s="25"/>
      <c r="C1059" s="8"/>
      <c r="D1059" s="1261"/>
      <c r="E1059" s="1261"/>
      <c r="F1059" s="1261"/>
      <c r="G1059" s="1261"/>
      <c r="H1059" s="1261"/>
      <c r="I1059" s="1261"/>
      <c r="J1059" s="1261"/>
      <c r="K1059" s="1261"/>
      <c r="L1059" s="1261"/>
      <c r="M1059" s="1261"/>
      <c r="N1059" s="1261"/>
      <c r="O1059" s="1261"/>
      <c r="P1059" s="1261"/>
      <c r="Q1059" s="1261"/>
      <c r="R1059" s="1261"/>
      <c r="S1059" s="1261"/>
      <c r="T1059" s="1261"/>
      <c r="U1059" s="1261"/>
      <c r="V1059" s="1261"/>
      <c r="W1059" s="1261"/>
      <c r="X1059" s="1261"/>
      <c r="Y1059" s="1261"/>
      <c r="Z1059" s="1261"/>
      <c r="AA1059" s="1261"/>
      <c r="AB1059" s="1261"/>
      <c r="AC1059" s="1261"/>
      <c r="AD1059" s="1261"/>
      <c r="AE1059" s="1261"/>
      <c r="AF1059" s="1261"/>
      <c r="AG1059" s="1261"/>
      <c r="AH1059" s="1261"/>
      <c r="AI1059" s="1261"/>
      <c r="AJ1059" s="1261"/>
      <c r="AK1059" s="1261"/>
    </row>
    <row r="1060" spans="1:37" ht="12.9" customHeight="1">
      <c r="A1060" s="1374" t="s">
        <v>601</v>
      </c>
      <c r="B1060" s="1374"/>
      <c r="C1060" s="212">
        <v>7</v>
      </c>
      <c r="D1060" s="1261" t="s">
        <v>1157</v>
      </c>
      <c r="E1060" s="1261"/>
      <c r="F1060" s="1261"/>
      <c r="G1060" s="1261"/>
      <c r="H1060" s="1261"/>
      <c r="I1060" s="1261"/>
      <c r="J1060" s="1261"/>
      <c r="K1060" s="1261"/>
      <c r="L1060" s="1261"/>
      <c r="M1060" s="1261"/>
      <c r="N1060" s="1261"/>
      <c r="O1060" s="1261"/>
      <c r="P1060" s="1261"/>
      <c r="Q1060" s="1261"/>
      <c r="R1060" s="1261"/>
      <c r="S1060" s="1261"/>
      <c r="T1060" s="1261"/>
      <c r="U1060" s="1261"/>
      <c r="V1060" s="1261"/>
      <c r="W1060" s="1261"/>
      <c r="X1060" s="1261"/>
      <c r="Y1060" s="1261"/>
      <c r="Z1060" s="1261"/>
      <c r="AA1060" s="1261"/>
      <c r="AB1060" s="1261"/>
      <c r="AC1060" s="1261"/>
      <c r="AD1060" s="1261"/>
      <c r="AE1060" s="1261"/>
      <c r="AF1060" s="1261"/>
      <c r="AG1060" s="1261"/>
      <c r="AH1060" s="1261"/>
      <c r="AI1060" s="1261"/>
      <c r="AJ1060" s="1261"/>
      <c r="AK1060" s="1261"/>
    </row>
    <row r="1061" spans="1:37" ht="12.9" customHeight="1">
      <c r="A1061" s="1"/>
      <c r="B1061" s="1"/>
      <c r="C1061" s="212"/>
      <c r="D1061" s="1261"/>
      <c r="E1061" s="1261"/>
      <c r="F1061" s="1261"/>
      <c r="G1061" s="1261"/>
      <c r="H1061" s="1261"/>
      <c r="I1061" s="1261"/>
      <c r="J1061" s="1261"/>
      <c r="K1061" s="1261"/>
      <c r="L1061" s="1261"/>
      <c r="M1061" s="1261"/>
      <c r="N1061" s="1261"/>
      <c r="O1061" s="1261"/>
      <c r="P1061" s="1261"/>
      <c r="Q1061" s="1261"/>
      <c r="R1061" s="1261"/>
      <c r="S1061" s="1261"/>
      <c r="T1061" s="1261"/>
      <c r="U1061" s="1261"/>
      <c r="V1061" s="1261"/>
      <c r="W1061" s="1261"/>
      <c r="X1061" s="1261"/>
      <c r="Y1061" s="1261"/>
      <c r="Z1061" s="1261"/>
      <c r="AA1061" s="1261"/>
      <c r="AB1061" s="1261"/>
      <c r="AC1061" s="1261"/>
      <c r="AD1061" s="1261"/>
      <c r="AE1061" s="1261"/>
      <c r="AF1061" s="1261"/>
      <c r="AG1061" s="1261"/>
      <c r="AH1061" s="1261"/>
      <c r="AI1061" s="1261"/>
      <c r="AJ1061" s="1261"/>
      <c r="AK1061" s="1261"/>
    </row>
    <row r="1062" spans="1:37" ht="12.9" customHeight="1">
      <c r="A1062" s="1"/>
      <c r="B1062" s="1"/>
      <c r="C1062" s="212"/>
      <c r="D1062" s="1261"/>
      <c r="E1062" s="1261"/>
      <c r="F1062" s="1261"/>
      <c r="G1062" s="1261"/>
      <c r="H1062" s="1261"/>
      <c r="I1062" s="1261"/>
      <c r="J1062" s="1261"/>
      <c r="K1062" s="1261"/>
      <c r="L1062" s="1261"/>
      <c r="M1062" s="1261"/>
      <c r="N1062" s="1261"/>
      <c r="O1062" s="1261"/>
      <c r="P1062" s="1261"/>
      <c r="Q1062" s="1261"/>
      <c r="R1062" s="1261"/>
      <c r="S1062" s="1261"/>
      <c r="T1062" s="1261"/>
      <c r="U1062" s="1261"/>
      <c r="V1062" s="1261"/>
      <c r="W1062" s="1261"/>
      <c r="X1062" s="1261"/>
      <c r="Y1062" s="1261"/>
      <c r="Z1062" s="1261"/>
      <c r="AA1062" s="1261"/>
      <c r="AB1062" s="1261"/>
      <c r="AC1062" s="1261"/>
      <c r="AD1062" s="1261"/>
      <c r="AE1062" s="1261"/>
      <c r="AF1062" s="1261"/>
      <c r="AG1062" s="1261"/>
      <c r="AH1062" s="1261"/>
      <c r="AI1062" s="1261"/>
      <c r="AJ1062" s="1261"/>
      <c r="AK1062" s="1261"/>
    </row>
    <row r="1063" spans="1:37" ht="12.9" customHeight="1">
      <c r="A1063" s="35"/>
      <c r="B1063" s="25"/>
      <c r="C1063" s="212"/>
      <c r="D1063" s="1261"/>
      <c r="E1063" s="1261"/>
      <c r="F1063" s="1261"/>
      <c r="G1063" s="1261"/>
      <c r="H1063" s="1261"/>
      <c r="I1063" s="1261"/>
      <c r="J1063" s="1261"/>
      <c r="K1063" s="1261"/>
      <c r="L1063" s="1261"/>
      <c r="M1063" s="1261"/>
      <c r="N1063" s="1261"/>
      <c r="O1063" s="1261"/>
      <c r="P1063" s="1261"/>
      <c r="Q1063" s="1261"/>
      <c r="R1063" s="1261"/>
      <c r="S1063" s="1261"/>
      <c r="T1063" s="1261"/>
      <c r="U1063" s="1261"/>
      <c r="V1063" s="1261"/>
      <c r="W1063" s="1261"/>
      <c r="X1063" s="1261"/>
      <c r="Y1063" s="1261"/>
      <c r="Z1063" s="1261"/>
      <c r="AA1063" s="1261"/>
      <c r="AB1063" s="1261"/>
      <c r="AC1063" s="1261"/>
      <c r="AD1063" s="1261"/>
      <c r="AE1063" s="1261"/>
      <c r="AF1063" s="1261"/>
      <c r="AG1063" s="1261"/>
      <c r="AH1063" s="1261"/>
      <c r="AI1063" s="1261"/>
      <c r="AJ1063" s="1261"/>
      <c r="AK1063" s="1261"/>
    </row>
    <row r="1064" spans="1:37" ht="12.9" customHeight="1">
      <c r="A1064" s="1374" t="s">
        <v>601</v>
      </c>
      <c r="B1064" s="1374"/>
      <c r="C1064" s="212">
        <v>8</v>
      </c>
      <c r="D1064" s="1345" t="s">
        <v>1941</v>
      </c>
      <c r="E1064" s="1345"/>
      <c r="F1064" s="1345"/>
      <c r="G1064" s="1345"/>
      <c r="H1064" s="1345"/>
      <c r="I1064" s="1345"/>
      <c r="J1064" s="1345"/>
      <c r="K1064" s="1345"/>
      <c r="L1064" s="1345"/>
      <c r="M1064" s="1345"/>
      <c r="N1064" s="1345"/>
      <c r="O1064" s="1345"/>
      <c r="P1064" s="1345"/>
      <c r="Q1064" s="1345"/>
      <c r="R1064" s="1345"/>
      <c r="S1064" s="1345"/>
      <c r="T1064" s="1345"/>
      <c r="U1064" s="1345"/>
      <c r="V1064" s="1345"/>
      <c r="W1064" s="1345"/>
      <c r="X1064" s="1345"/>
      <c r="Y1064" s="1345"/>
      <c r="Z1064" s="1345"/>
      <c r="AA1064" s="1345"/>
      <c r="AB1064" s="1345"/>
      <c r="AC1064" s="1345"/>
      <c r="AD1064" s="1345"/>
      <c r="AE1064" s="1345"/>
      <c r="AF1064" s="1345"/>
      <c r="AG1064" s="1345"/>
      <c r="AH1064" s="1345"/>
      <c r="AI1064" s="1345"/>
      <c r="AJ1064" s="1345"/>
      <c r="AK1064" s="1345"/>
    </row>
    <row r="1065" spans="1:37" ht="12.9" customHeight="1">
      <c r="A1065" s="1"/>
      <c r="B1065" s="1"/>
      <c r="C1065" s="212"/>
      <c r="D1065" s="1345"/>
      <c r="E1065" s="1345"/>
      <c r="F1065" s="1345"/>
      <c r="G1065" s="1345"/>
      <c r="H1065" s="1345"/>
      <c r="I1065" s="1345"/>
      <c r="J1065" s="1345"/>
      <c r="K1065" s="1345"/>
      <c r="L1065" s="1345"/>
      <c r="M1065" s="1345"/>
      <c r="N1065" s="1345"/>
      <c r="O1065" s="1345"/>
      <c r="P1065" s="1345"/>
      <c r="Q1065" s="1345"/>
      <c r="R1065" s="1345"/>
      <c r="S1065" s="1345"/>
      <c r="T1065" s="1345"/>
      <c r="U1065" s="1345"/>
      <c r="V1065" s="1345"/>
      <c r="W1065" s="1345"/>
      <c r="X1065" s="1345"/>
      <c r="Y1065" s="1345"/>
      <c r="Z1065" s="1345"/>
      <c r="AA1065" s="1345"/>
      <c r="AB1065" s="1345"/>
      <c r="AC1065" s="1345"/>
      <c r="AD1065" s="1345"/>
      <c r="AE1065" s="1345"/>
      <c r="AF1065" s="1345"/>
      <c r="AG1065" s="1345"/>
      <c r="AH1065" s="1345"/>
      <c r="AI1065" s="1345"/>
      <c r="AJ1065" s="1345"/>
      <c r="AK1065" s="1345"/>
    </row>
    <row r="1066" spans="1:37" ht="12.9" customHeight="1">
      <c r="A1066" s="1"/>
      <c r="B1066" s="1"/>
      <c r="C1066" s="212"/>
      <c r="D1066" s="1345"/>
      <c r="E1066" s="1345"/>
      <c r="F1066" s="1345"/>
      <c r="G1066" s="1345"/>
      <c r="H1066" s="1345"/>
      <c r="I1066" s="1345"/>
      <c r="J1066" s="1345"/>
      <c r="K1066" s="1345"/>
      <c r="L1066" s="1345"/>
      <c r="M1066" s="1345"/>
      <c r="N1066" s="1345"/>
      <c r="O1066" s="1345"/>
      <c r="P1066" s="1345"/>
      <c r="Q1066" s="1345"/>
      <c r="R1066" s="1345"/>
      <c r="S1066" s="1345"/>
      <c r="T1066" s="1345"/>
      <c r="U1066" s="1345"/>
      <c r="V1066" s="1345"/>
      <c r="W1066" s="1345"/>
      <c r="X1066" s="1345"/>
      <c r="Y1066" s="1345"/>
      <c r="Z1066" s="1345"/>
      <c r="AA1066" s="1345"/>
      <c r="AB1066" s="1345"/>
      <c r="AC1066" s="1345"/>
      <c r="AD1066" s="1345"/>
      <c r="AE1066" s="1345"/>
      <c r="AF1066" s="1345"/>
      <c r="AG1066" s="1345"/>
      <c r="AH1066" s="1345"/>
      <c r="AI1066" s="1345"/>
      <c r="AJ1066" s="1345"/>
      <c r="AK1066" s="1345"/>
    </row>
    <row r="1067" spans="1:37" ht="12.9" customHeight="1">
      <c r="A1067" s="35"/>
      <c r="B1067" s="25"/>
      <c r="C1067" s="212"/>
      <c r="D1067" s="1345"/>
      <c r="E1067" s="1345"/>
      <c r="F1067" s="1345"/>
      <c r="G1067" s="1345"/>
      <c r="H1067" s="1345"/>
      <c r="I1067" s="1345"/>
      <c r="J1067" s="1345"/>
      <c r="K1067" s="1345"/>
      <c r="L1067" s="1345"/>
      <c r="M1067" s="1345"/>
      <c r="N1067" s="1345"/>
      <c r="O1067" s="1345"/>
      <c r="P1067" s="1345"/>
      <c r="Q1067" s="1345"/>
      <c r="R1067" s="1345"/>
      <c r="S1067" s="1345"/>
      <c r="T1067" s="1345"/>
      <c r="U1067" s="1345"/>
      <c r="V1067" s="1345"/>
      <c r="W1067" s="1345"/>
      <c r="X1067" s="1345"/>
      <c r="Y1067" s="1345"/>
      <c r="Z1067" s="1345"/>
      <c r="AA1067" s="1345"/>
      <c r="AB1067" s="1345"/>
      <c r="AC1067" s="1345"/>
      <c r="AD1067" s="1345"/>
      <c r="AE1067" s="1345"/>
      <c r="AF1067" s="1345"/>
      <c r="AG1067" s="1345"/>
      <c r="AH1067" s="1345"/>
      <c r="AI1067" s="1345"/>
      <c r="AJ1067" s="1345"/>
      <c r="AK1067" s="1345"/>
    </row>
    <row r="1068" spans="1:37" ht="12.9" customHeight="1">
      <c r="A1068" s="1374" t="s">
        <v>601</v>
      </c>
      <c r="B1068" s="1374"/>
      <c r="C1068" s="212">
        <v>9</v>
      </c>
      <c r="D1068" s="1261" t="s">
        <v>1156</v>
      </c>
      <c r="E1068" s="1261"/>
      <c r="F1068" s="1261"/>
      <c r="G1068" s="1261"/>
      <c r="H1068" s="1261"/>
      <c r="I1068" s="1261"/>
      <c r="J1068" s="1261"/>
      <c r="K1068" s="1261"/>
      <c r="L1068" s="1261"/>
      <c r="M1068" s="1261"/>
      <c r="N1068" s="1261"/>
      <c r="O1068" s="1261"/>
      <c r="P1068" s="1261"/>
      <c r="Q1068" s="1261"/>
      <c r="R1068" s="1261"/>
      <c r="S1068" s="1261"/>
      <c r="T1068" s="1261"/>
      <c r="U1068" s="1261"/>
      <c r="V1068" s="1261"/>
      <c r="W1068" s="1261"/>
      <c r="X1068" s="1261"/>
      <c r="Y1068" s="1261"/>
      <c r="Z1068" s="1261"/>
      <c r="AA1068" s="1261"/>
      <c r="AB1068" s="1261"/>
      <c r="AC1068" s="1261"/>
      <c r="AD1068" s="1261"/>
      <c r="AE1068" s="1261"/>
      <c r="AF1068" s="1261"/>
      <c r="AG1068" s="1261"/>
      <c r="AH1068" s="1261"/>
      <c r="AI1068" s="1261"/>
      <c r="AJ1068" s="1261"/>
      <c r="AK1068" s="1261"/>
    </row>
    <row r="1069" spans="1:37" ht="12.9" customHeight="1">
      <c r="A1069" s="35"/>
      <c r="B1069" s="25"/>
      <c r="C1069" s="212"/>
      <c r="D1069" s="1261"/>
      <c r="E1069" s="1261"/>
      <c r="F1069" s="1261"/>
      <c r="G1069" s="1261"/>
      <c r="H1069" s="1261"/>
      <c r="I1069" s="1261"/>
      <c r="J1069" s="1261"/>
      <c r="K1069" s="1261"/>
      <c r="L1069" s="1261"/>
      <c r="M1069" s="1261"/>
      <c r="N1069" s="1261"/>
      <c r="O1069" s="1261"/>
      <c r="P1069" s="1261"/>
      <c r="Q1069" s="1261"/>
      <c r="R1069" s="1261"/>
      <c r="S1069" s="1261"/>
      <c r="T1069" s="1261"/>
      <c r="U1069" s="1261"/>
      <c r="V1069" s="1261"/>
      <c r="W1069" s="1261"/>
      <c r="X1069" s="1261"/>
      <c r="Y1069" s="1261"/>
      <c r="Z1069" s="1261"/>
      <c r="AA1069" s="1261"/>
      <c r="AB1069" s="1261"/>
      <c r="AC1069" s="1261"/>
      <c r="AD1069" s="1261"/>
      <c r="AE1069" s="1261"/>
      <c r="AF1069" s="1261"/>
      <c r="AG1069" s="1261"/>
      <c r="AH1069" s="1261"/>
      <c r="AI1069" s="1261"/>
      <c r="AJ1069" s="1261"/>
      <c r="AK1069" s="1261"/>
    </row>
    <row r="1070" spans="1:37" ht="12.9" customHeight="1">
      <c r="D1070" s="1261"/>
      <c r="E1070" s="1261"/>
      <c r="F1070" s="1261"/>
      <c r="G1070" s="1261"/>
      <c r="H1070" s="1261"/>
      <c r="I1070" s="1261"/>
      <c r="J1070" s="1261"/>
      <c r="K1070" s="1261"/>
      <c r="L1070" s="1261"/>
      <c r="M1070" s="1261"/>
      <c r="N1070" s="1261"/>
      <c r="O1070" s="1261"/>
      <c r="P1070" s="1261"/>
      <c r="Q1070" s="1261"/>
      <c r="R1070" s="1261"/>
      <c r="S1070" s="1261"/>
      <c r="T1070" s="1261"/>
      <c r="U1070" s="1261"/>
      <c r="V1070" s="1261"/>
      <c r="W1070" s="1261"/>
      <c r="X1070" s="1261"/>
      <c r="Y1070" s="1261"/>
      <c r="Z1070" s="1261"/>
      <c r="AA1070" s="1261"/>
      <c r="AB1070" s="1261"/>
      <c r="AC1070" s="1261"/>
      <c r="AD1070" s="1261"/>
      <c r="AE1070" s="1261"/>
      <c r="AF1070" s="1261"/>
      <c r="AG1070" s="1261"/>
      <c r="AH1070" s="1261"/>
      <c r="AI1070" s="1261"/>
      <c r="AJ1070" s="1261"/>
      <c r="AK1070" s="1261"/>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AA310:AK310"/>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AA264:AK264"/>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C98" zoomScaleNormal="100" zoomScaleSheetLayoutView="90" workbookViewId="0">
      <selection activeCell="C31" sqref="C31"/>
    </sheetView>
  </sheetViews>
  <sheetFormatPr defaultColWidth="0" defaultRowHeight="11.4" zeroHeight="1"/>
  <cols>
    <col min="1" max="1" width="35.6640625" style="199"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559</v>
      </c>
      <c r="B1" s="125"/>
      <c r="C1" s="125"/>
      <c r="D1" s="125"/>
      <c r="E1" s="126"/>
      <c r="F1" s="1858" t="s">
        <v>631</v>
      </c>
      <c r="G1" s="1859"/>
      <c r="H1" s="1859"/>
      <c r="I1" s="1859"/>
      <c r="J1" s="1859"/>
      <c r="K1" s="1859"/>
      <c r="L1" s="1859"/>
      <c r="M1" s="1859"/>
      <c r="N1" s="1859"/>
      <c r="O1" s="1859"/>
      <c r="P1" s="1859"/>
      <c r="Q1" s="1859"/>
      <c r="R1" s="1860"/>
      <c r="S1" s="112"/>
      <c r="T1" s="111"/>
      <c r="U1" s="113"/>
    </row>
    <row r="2" spans="1:21" s="138" customFormat="1" ht="71.25" customHeight="1">
      <c r="A2" s="137"/>
      <c r="B2" s="138" t="s">
        <v>23</v>
      </c>
      <c r="C2" s="138" t="s">
        <v>376</v>
      </c>
      <c r="D2" s="138" t="s">
        <v>375</v>
      </c>
      <c r="E2" s="138" t="s">
        <v>24</v>
      </c>
      <c r="F2" s="139" t="str">
        <f>Application!B623&amp;Application!C623</f>
        <v>1)Citibank, N.A</v>
      </c>
      <c r="G2" s="139" t="str">
        <f>Application!B624&amp;Application!C624</f>
        <v>2)Vintage Housing Holdings, LLC</v>
      </c>
      <c r="H2" s="139" t="str">
        <f>Application!B625&amp;Application!C625</f>
        <v>3)Vintage Housing Development, Inc.</v>
      </c>
      <c r="I2" s="139" t="str">
        <f>Application!B626&amp;Application!C626</f>
        <v>4)</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1000000</v>
      </c>
      <c r="C4" s="147">
        <v>1000000</v>
      </c>
      <c r="D4" s="147"/>
      <c r="E4" s="147">
        <v>1000000</v>
      </c>
      <c r="F4" s="147"/>
      <c r="G4" s="147"/>
      <c r="H4" s="147"/>
      <c r="I4" s="147"/>
      <c r="J4" s="147"/>
      <c r="K4" s="147"/>
      <c r="L4" s="147"/>
      <c r="M4" s="147"/>
      <c r="N4" s="147"/>
      <c r="O4" s="147"/>
      <c r="P4" s="147"/>
      <c r="Q4" s="147"/>
      <c r="R4" s="551">
        <f>SUM(E4:Q4)</f>
        <v>1000000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ht="12">
      <c r="A8" s="149" t="s">
        <v>603</v>
      </c>
      <c r="B8" s="146">
        <f>SUM(C8:D8)</f>
        <v>1000000</v>
      </c>
      <c r="C8" s="146">
        <f t="shared" ref="C8:Q8" si="0">SUM(C4:C7)</f>
        <v>1000000</v>
      </c>
      <c r="D8" s="146">
        <f t="shared" si="0"/>
        <v>0</v>
      </c>
      <c r="E8" s="146">
        <f t="shared" si="0"/>
        <v>1000000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1000000</v>
      </c>
      <c r="S8" s="148"/>
      <c r="T8" s="148"/>
      <c r="U8" s="143"/>
    </row>
    <row r="9" spans="1:21" s="144" customFormat="1">
      <c r="A9" s="145" t="s">
        <v>604</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605</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ht="12">
      <c r="A11" s="149" t="s">
        <v>606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0</v>
      </c>
      <c r="S11" s="148"/>
      <c r="T11" s="150">
        <f>SUM(T9:T10)</f>
        <v>0</v>
      </c>
      <c r="U11" s="143"/>
    </row>
    <row r="12" spans="1:21" s="144" customFormat="1" ht="12">
      <c r="A12" s="149" t="s">
        <v>85</v>
      </c>
      <c r="B12" s="146">
        <f t="shared" ref="B12:Q12" si="2">SUM(B8+B11)</f>
        <v>1000000</v>
      </c>
      <c r="C12" s="146">
        <f t="shared" si="2"/>
        <v>1000000</v>
      </c>
      <c r="D12" s="146">
        <f t="shared" si="2"/>
        <v>0</v>
      </c>
      <c r="E12" s="146">
        <f t="shared" si="2"/>
        <v>1000000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1000000</v>
      </c>
      <c r="S12" s="148"/>
      <c r="T12" s="148"/>
      <c r="U12" s="143"/>
    </row>
    <row r="13" spans="1:21" s="144" customFormat="1">
      <c r="A13" s="309" t="s">
        <v>935</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2.8">
      <c r="A14" s="310" t="s">
        <v>1822</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1302</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609</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610</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1819</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ht="12">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ht="12">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6">SUM(C29+D29)</f>
        <v>2000000</v>
      </c>
      <c r="C29" s="147">
        <v>2000000</v>
      </c>
      <c r="D29" s="147"/>
      <c r="E29" s="147">
        <v>2000000</v>
      </c>
      <c r="F29" s="147"/>
      <c r="G29" s="147"/>
      <c r="H29" s="147"/>
      <c r="I29" s="147"/>
      <c r="J29" s="147"/>
      <c r="K29" s="147"/>
      <c r="L29" s="147"/>
      <c r="M29" s="147"/>
      <c r="N29" s="147"/>
      <c r="O29" s="147"/>
      <c r="P29" s="147"/>
      <c r="Q29" s="147"/>
      <c r="R29" s="551">
        <f t="shared" ref="R29:R37" si="7">SUM(E29:Q29)</f>
        <v>2000000</v>
      </c>
      <c r="S29" s="147">
        <v>2000000</v>
      </c>
      <c r="T29" s="147"/>
      <c r="U29" s="143"/>
    </row>
    <row r="30" spans="1:21" s="144" customFormat="1">
      <c r="A30" s="145" t="s">
        <v>609</v>
      </c>
      <c r="B30" s="146">
        <f t="shared" si="6"/>
        <v>40865269</v>
      </c>
      <c r="C30" s="147">
        <v>40865269</v>
      </c>
      <c r="D30" s="147"/>
      <c r="E30" s="147">
        <v>305602</v>
      </c>
      <c r="F30" s="147">
        <v>40559667</v>
      </c>
      <c r="G30" s="147"/>
      <c r="H30" s="147"/>
      <c r="I30" s="147"/>
      <c r="J30" s="147"/>
      <c r="K30" s="147"/>
      <c r="L30" s="147"/>
      <c r="M30" s="147"/>
      <c r="N30" s="147"/>
      <c r="O30" s="147"/>
      <c r="P30" s="147"/>
      <c r="Q30" s="147"/>
      <c r="R30" s="551">
        <f t="shared" si="7"/>
        <v>40865269</v>
      </c>
      <c r="S30" s="147">
        <v>40865269</v>
      </c>
      <c r="T30" s="147"/>
      <c r="U30" s="143"/>
    </row>
    <row r="31" spans="1:21" s="144" customFormat="1">
      <c r="A31" s="145" t="s">
        <v>610</v>
      </c>
      <c r="B31" s="146">
        <f t="shared" si="6"/>
        <v>2571916</v>
      </c>
      <c r="C31" s="147">
        <v>2571916</v>
      </c>
      <c r="D31" s="147"/>
      <c r="E31" s="147">
        <v>2571916</v>
      </c>
      <c r="F31" s="147"/>
      <c r="G31" s="147"/>
      <c r="H31" s="147"/>
      <c r="I31" s="147"/>
      <c r="J31" s="147"/>
      <c r="K31" s="147"/>
      <c r="L31" s="147"/>
      <c r="M31" s="147"/>
      <c r="N31" s="147"/>
      <c r="O31" s="147"/>
      <c r="P31" s="147"/>
      <c r="Q31" s="147"/>
      <c r="R31" s="551">
        <f t="shared" si="7"/>
        <v>2571916</v>
      </c>
      <c r="S31" s="147">
        <v>2571916</v>
      </c>
      <c r="T31" s="147"/>
      <c r="U31" s="143"/>
    </row>
    <row r="32" spans="1:21" s="144" customFormat="1">
      <c r="A32" s="145" t="s">
        <v>138</v>
      </c>
      <c r="B32" s="146">
        <f t="shared" si="6"/>
        <v>857305</v>
      </c>
      <c r="C32" s="147">
        <v>857305</v>
      </c>
      <c r="D32" s="147"/>
      <c r="E32" s="147">
        <v>857305</v>
      </c>
      <c r="F32" s="147"/>
      <c r="G32" s="147"/>
      <c r="H32" s="147"/>
      <c r="I32" s="147"/>
      <c r="J32" s="147"/>
      <c r="K32" s="147"/>
      <c r="L32" s="147"/>
      <c r="M32" s="147"/>
      <c r="N32" s="147"/>
      <c r="O32" s="147"/>
      <c r="P32" s="147"/>
      <c r="Q32" s="147"/>
      <c r="R32" s="551">
        <f t="shared" si="7"/>
        <v>857305</v>
      </c>
      <c r="S32" s="147">
        <v>857305</v>
      </c>
      <c r="T32" s="147"/>
      <c r="U32" s="143"/>
    </row>
    <row r="33" spans="1:21" s="144" customFormat="1">
      <c r="A33" s="145" t="s">
        <v>139</v>
      </c>
      <c r="B33" s="146">
        <f t="shared" si="6"/>
        <v>2571916</v>
      </c>
      <c r="C33" s="147">
        <v>2571916</v>
      </c>
      <c r="D33" s="147"/>
      <c r="E33" s="147">
        <v>2571916</v>
      </c>
      <c r="F33" s="147"/>
      <c r="G33" s="147"/>
      <c r="H33" s="147"/>
      <c r="I33" s="147"/>
      <c r="J33" s="147"/>
      <c r="K33" s="147"/>
      <c r="L33" s="147"/>
      <c r="M33" s="147"/>
      <c r="N33" s="147"/>
      <c r="O33" s="147"/>
      <c r="P33" s="147"/>
      <c r="Q33" s="147"/>
      <c r="R33" s="551">
        <f t="shared" si="7"/>
        <v>2571916</v>
      </c>
      <c r="S33" s="147">
        <v>2571916</v>
      </c>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2000000</v>
      </c>
      <c r="C35" s="147">
        <v>2000000</v>
      </c>
      <c r="D35" s="147"/>
      <c r="E35" s="147">
        <v>2000000</v>
      </c>
      <c r="F35" s="147"/>
      <c r="G35" s="147"/>
      <c r="H35" s="147"/>
      <c r="I35" s="147"/>
      <c r="J35" s="147"/>
      <c r="K35" s="147"/>
      <c r="L35" s="147"/>
      <c r="M35" s="147"/>
      <c r="N35" s="147"/>
      <c r="O35" s="147"/>
      <c r="P35" s="147"/>
      <c r="Q35" s="147"/>
      <c r="R35" s="551">
        <f t="shared" si="7"/>
        <v>2000000</v>
      </c>
      <c r="S35" s="147">
        <v>2000000</v>
      </c>
      <c r="T35" s="147"/>
      <c r="U35" s="143"/>
    </row>
    <row r="36" spans="1:21" s="144" customFormat="1">
      <c r="A36" s="304" t="s">
        <v>1819</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34</v>
      </c>
      <c r="B37" s="146">
        <f t="shared" si="6"/>
        <v>0</v>
      </c>
      <c r="C37" s="147"/>
      <c r="D37" s="147"/>
      <c r="E37" s="147"/>
      <c r="F37" s="147"/>
      <c r="G37" s="147"/>
      <c r="H37" s="147"/>
      <c r="I37" s="147"/>
      <c r="J37" s="147"/>
      <c r="K37" s="147"/>
      <c r="L37" s="147"/>
      <c r="M37" s="147"/>
      <c r="N37" s="147"/>
      <c r="O37" s="147"/>
      <c r="P37" s="147"/>
      <c r="Q37" s="147"/>
      <c r="R37" s="551">
        <f t="shared" si="7"/>
        <v>0</v>
      </c>
      <c r="S37" s="147"/>
      <c r="T37" s="147"/>
      <c r="U37" s="143"/>
    </row>
    <row r="38" spans="1:21" s="144" customFormat="1" ht="12">
      <c r="A38" s="149" t="s">
        <v>144</v>
      </c>
      <c r="B38" s="146">
        <f t="shared" si="6"/>
        <v>50866406</v>
      </c>
      <c r="C38" s="146">
        <f>SUM(C29:C37)</f>
        <v>50866406</v>
      </c>
      <c r="D38" s="146">
        <f t="shared" ref="D38:Q38" si="8">SUM(D29:D37)</f>
        <v>0</v>
      </c>
      <c r="E38" s="146">
        <f t="shared" si="8"/>
        <v>10306739</v>
      </c>
      <c r="F38" s="146">
        <f t="shared" si="8"/>
        <v>40559667</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1">
        <f>SUM(R29:R37)</f>
        <v>50866406</v>
      </c>
      <c r="S38" s="150">
        <f>SUM(S29:S37)</f>
        <v>50866406</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1000000</v>
      </c>
      <c r="C40" s="147">
        <v>1000000</v>
      </c>
      <c r="D40" s="147"/>
      <c r="E40" s="147">
        <v>1000000</v>
      </c>
      <c r="F40" s="147"/>
      <c r="G40" s="147"/>
      <c r="H40" s="147"/>
      <c r="I40" s="147"/>
      <c r="J40" s="147"/>
      <c r="K40" s="147"/>
      <c r="L40" s="147"/>
      <c r="M40" s="147"/>
      <c r="N40" s="147"/>
      <c r="O40" s="147"/>
      <c r="P40" s="147"/>
      <c r="Q40" s="147"/>
      <c r="R40" s="551">
        <f>SUM(E40:Q40)</f>
        <v>1000000</v>
      </c>
      <c r="S40" s="147">
        <v>1000000</v>
      </c>
      <c r="T40" s="147"/>
      <c r="U40" s="143"/>
    </row>
    <row r="41" spans="1:21" s="144" customFormat="1">
      <c r="A41" s="145" t="s">
        <v>147</v>
      </c>
      <c r="B41" s="146">
        <f>SUM(C41+D41)</f>
        <v>0</v>
      </c>
      <c r="C41" s="147"/>
      <c r="D41" s="147"/>
      <c r="E41" s="147"/>
      <c r="F41" s="147"/>
      <c r="G41" s="147"/>
      <c r="H41" s="147"/>
      <c r="I41" s="147"/>
      <c r="J41" s="147"/>
      <c r="K41" s="147"/>
      <c r="L41" s="147"/>
      <c r="M41" s="147"/>
      <c r="N41" s="147"/>
      <c r="O41" s="147"/>
      <c r="P41" s="147"/>
      <c r="Q41" s="147"/>
      <c r="R41" s="551">
        <f>SUM(E41:Q41)</f>
        <v>0</v>
      </c>
      <c r="S41" s="147"/>
      <c r="T41" s="147"/>
      <c r="U41" s="143"/>
    </row>
    <row r="42" spans="1:21" s="144" customFormat="1" ht="12">
      <c r="A42" s="149" t="s">
        <v>148</v>
      </c>
      <c r="B42" s="146">
        <f>SUM(C42:D42)</f>
        <v>1000000</v>
      </c>
      <c r="C42" s="146">
        <f>SUM(C39:C41)</f>
        <v>1000000</v>
      </c>
      <c r="D42" s="146">
        <f>SUM(D39:D41)</f>
        <v>0</v>
      </c>
      <c r="E42" s="146">
        <f t="shared" ref="E42:T42" si="9">SUM(E40:E41)</f>
        <v>1000000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1000000</v>
      </c>
      <c r="S42" s="150">
        <f t="shared" si="9"/>
        <v>1000000</v>
      </c>
      <c r="T42" s="150">
        <f t="shared" si="9"/>
        <v>0</v>
      </c>
      <c r="U42" s="143"/>
    </row>
    <row r="43" spans="1:21" s="144" customFormat="1" ht="12">
      <c r="A43" s="149" t="s">
        <v>149</v>
      </c>
      <c r="B43" s="146">
        <f>SUM(C43:D43)</f>
        <v>700000</v>
      </c>
      <c r="C43" s="147">
        <v>700000</v>
      </c>
      <c r="D43" s="147"/>
      <c r="E43" s="147">
        <v>700000</v>
      </c>
      <c r="F43" s="147"/>
      <c r="G43" s="147"/>
      <c r="H43" s="147"/>
      <c r="I43" s="147"/>
      <c r="J43" s="147"/>
      <c r="K43" s="147"/>
      <c r="L43" s="147"/>
      <c r="M43" s="147"/>
      <c r="N43" s="147"/>
      <c r="O43" s="147"/>
      <c r="P43" s="147"/>
      <c r="Q43" s="147"/>
      <c r="R43" s="551">
        <f>SUM(E43:Q43)</f>
        <v>700000</v>
      </c>
      <c r="S43" s="147">
        <v>700000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8084500</v>
      </c>
      <c r="C45" s="147">
        <v>8084500</v>
      </c>
      <c r="D45" s="147"/>
      <c r="E45" s="147">
        <v>4609326</v>
      </c>
      <c r="F45" s="147"/>
      <c r="G45" s="147">
        <v>3475174</v>
      </c>
      <c r="H45" s="147"/>
      <c r="I45" s="147"/>
      <c r="J45" s="147"/>
      <c r="K45" s="147"/>
      <c r="L45" s="147"/>
      <c r="M45" s="147"/>
      <c r="N45" s="147"/>
      <c r="O45" s="147"/>
      <c r="P45" s="147"/>
      <c r="Q45" s="147"/>
      <c r="R45" s="551">
        <f t="shared" ref="R45:R53" si="11">SUM(E45:Q45)</f>
        <v>8084500</v>
      </c>
      <c r="S45" s="147">
        <v>4000000</v>
      </c>
      <c r="T45" s="147"/>
      <c r="U45" s="143"/>
    </row>
    <row r="46" spans="1:21" s="144" customFormat="1">
      <c r="A46" s="145" t="s">
        <v>152</v>
      </c>
      <c r="B46" s="146">
        <f t="shared" si="10"/>
        <v>512000</v>
      </c>
      <c r="C46" s="147">
        <v>512000</v>
      </c>
      <c r="D46" s="147"/>
      <c r="E46" s="147">
        <v>512000</v>
      </c>
      <c r="F46" s="147"/>
      <c r="G46" s="147"/>
      <c r="H46" s="147"/>
      <c r="I46" s="147"/>
      <c r="J46" s="147"/>
      <c r="K46" s="147"/>
      <c r="L46" s="147"/>
      <c r="M46" s="147"/>
      <c r="N46" s="147"/>
      <c r="O46" s="147"/>
      <c r="P46" s="147"/>
      <c r="Q46" s="147"/>
      <c r="R46" s="551">
        <f t="shared" si="11"/>
        <v>512000</v>
      </c>
      <c r="S46" s="147"/>
      <c r="T46" s="147"/>
      <c r="U46" s="143"/>
    </row>
    <row r="47" spans="1:21" s="144" customFormat="1">
      <c r="A47" s="198" t="s">
        <v>153</v>
      </c>
      <c r="B47" s="146">
        <f t="shared" si="10"/>
        <v>88600</v>
      </c>
      <c r="C47" s="147">
        <v>88600</v>
      </c>
      <c r="D47" s="147"/>
      <c r="E47" s="147">
        <v>88600</v>
      </c>
      <c r="F47" s="147"/>
      <c r="G47" s="147"/>
      <c r="H47" s="147"/>
      <c r="I47" s="147"/>
      <c r="J47" s="147"/>
      <c r="K47" s="147"/>
      <c r="L47" s="147"/>
      <c r="M47" s="147"/>
      <c r="N47" s="147"/>
      <c r="O47" s="147"/>
      <c r="P47" s="147"/>
      <c r="Q47" s="147"/>
      <c r="R47" s="551">
        <f t="shared" si="11"/>
        <v>88600</v>
      </c>
      <c r="S47" s="147"/>
      <c r="T47" s="147"/>
      <c r="U47" s="143"/>
    </row>
    <row r="48" spans="1:21" s="144" customFormat="1">
      <c r="A48" s="145" t="s">
        <v>154</v>
      </c>
      <c r="B48" s="146">
        <f t="shared" si="10"/>
        <v>0</v>
      </c>
      <c r="C48" s="147"/>
      <c r="D48" s="147"/>
      <c r="E48" s="147"/>
      <c r="F48" s="147"/>
      <c r="G48" s="147"/>
      <c r="H48" s="147"/>
      <c r="I48" s="147"/>
      <c r="J48" s="147"/>
      <c r="K48" s="147"/>
      <c r="L48" s="147"/>
      <c r="M48" s="147"/>
      <c r="N48" s="147"/>
      <c r="O48" s="147"/>
      <c r="P48" s="147"/>
      <c r="Q48" s="147"/>
      <c r="R48" s="551">
        <f t="shared" si="11"/>
        <v>0</v>
      </c>
      <c r="S48" s="147"/>
      <c r="T48" s="147"/>
      <c r="U48" s="143"/>
    </row>
    <row r="49" spans="1:21" s="144" customFormat="1">
      <c r="A49" s="145" t="s">
        <v>57</v>
      </c>
      <c r="B49" s="146">
        <f t="shared" si="10"/>
        <v>24000</v>
      </c>
      <c r="C49" s="147">
        <v>24000</v>
      </c>
      <c r="D49" s="147"/>
      <c r="E49" s="147">
        <v>24000</v>
      </c>
      <c r="F49" s="147"/>
      <c r="G49" s="147"/>
      <c r="H49" s="147"/>
      <c r="I49" s="147"/>
      <c r="J49" s="147"/>
      <c r="K49" s="147"/>
      <c r="L49" s="147"/>
      <c r="M49" s="147"/>
      <c r="N49" s="147"/>
      <c r="O49" s="147"/>
      <c r="P49" s="147"/>
      <c r="Q49" s="147"/>
      <c r="R49" s="551">
        <f t="shared" si="11"/>
        <v>24000</v>
      </c>
      <c r="S49" s="147">
        <v>24000</v>
      </c>
      <c r="T49" s="147"/>
      <c r="U49" s="143"/>
    </row>
    <row r="50" spans="1:21" s="144" customFormat="1">
      <c r="A50" s="145" t="s">
        <v>157</v>
      </c>
      <c r="B50" s="146">
        <f t="shared" si="10"/>
        <v>100000</v>
      </c>
      <c r="C50" s="147">
        <v>100000</v>
      </c>
      <c r="D50" s="147"/>
      <c r="E50" s="147">
        <v>100000</v>
      </c>
      <c r="F50" s="147"/>
      <c r="G50" s="147"/>
      <c r="H50" s="147"/>
      <c r="I50" s="147"/>
      <c r="J50" s="147"/>
      <c r="K50" s="147"/>
      <c r="L50" s="147"/>
      <c r="M50" s="147"/>
      <c r="N50" s="147"/>
      <c r="O50" s="147"/>
      <c r="P50" s="147"/>
      <c r="Q50" s="147"/>
      <c r="R50" s="551">
        <f t="shared" si="11"/>
        <v>100000</v>
      </c>
      <c r="S50" s="147">
        <v>100000</v>
      </c>
      <c r="T50" s="147"/>
      <c r="U50" s="143"/>
    </row>
    <row r="51" spans="1:21" s="144" customFormat="1">
      <c r="A51" s="304" t="s">
        <v>155</v>
      </c>
      <c r="B51" s="146">
        <f t="shared" si="10"/>
        <v>100000</v>
      </c>
      <c r="C51" s="147">
        <v>100000</v>
      </c>
      <c r="D51" s="147"/>
      <c r="E51" s="147">
        <v>100000</v>
      </c>
      <c r="F51" s="147"/>
      <c r="G51" s="147"/>
      <c r="H51" s="147"/>
      <c r="I51" s="147"/>
      <c r="J51" s="147"/>
      <c r="K51" s="147"/>
      <c r="L51" s="147"/>
      <c r="M51" s="147"/>
      <c r="N51" s="147"/>
      <c r="O51" s="147"/>
      <c r="P51" s="147"/>
      <c r="Q51" s="147"/>
      <c r="R51" s="551">
        <f t="shared" si="11"/>
        <v>100000</v>
      </c>
      <c r="S51" s="147">
        <v>100000</v>
      </c>
      <c r="T51" s="147"/>
      <c r="U51" s="143"/>
    </row>
    <row r="52" spans="1:21" s="144" customFormat="1">
      <c r="A52" s="145" t="s">
        <v>156</v>
      </c>
      <c r="B52" s="146">
        <f t="shared" si="10"/>
        <v>0</v>
      </c>
      <c r="C52" s="147"/>
      <c r="D52" s="147"/>
      <c r="E52" s="147"/>
      <c r="F52" s="147"/>
      <c r="G52" s="147"/>
      <c r="H52" s="147"/>
      <c r="I52" s="147"/>
      <c r="J52" s="147"/>
      <c r="K52" s="147"/>
      <c r="L52" s="147"/>
      <c r="M52" s="147"/>
      <c r="N52" s="147"/>
      <c r="O52" s="147"/>
      <c r="P52" s="147"/>
      <c r="Q52" s="147"/>
      <c r="R52" s="551">
        <f t="shared" si="11"/>
        <v>0</v>
      </c>
      <c r="S52" s="147"/>
      <c r="T52" s="147"/>
      <c r="U52" s="143"/>
    </row>
    <row r="53" spans="1:21" s="144" customFormat="1">
      <c r="A53" s="1202" t="s">
        <v>34</v>
      </c>
      <c r="B53" s="146">
        <f t="shared" si="10"/>
        <v>0</v>
      </c>
      <c r="C53" s="147"/>
      <c r="D53" s="147"/>
      <c r="E53" s="147"/>
      <c r="F53" s="147"/>
      <c r="G53" s="147"/>
      <c r="H53" s="147"/>
      <c r="I53" s="147"/>
      <c r="J53" s="147"/>
      <c r="K53" s="147"/>
      <c r="L53" s="147"/>
      <c r="M53" s="147"/>
      <c r="N53" s="147"/>
      <c r="O53" s="147"/>
      <c r="P53" s="147"/>
      <c r="Q53" s="147"/>
      <c r="R53" s="551">
        <f t="shared" si="11"/>
        <v>0</v>
      </c>
      <c r="S53" s="147"/>
      <c r="T53" s="147"/>
      <c r="U53" s="143"/>
    </row>
    <row r="54" spans="1:21" s="153" customFormat="1" ht="12">
      <c r="A54" s="149" t="s">
        <v>158</v>
      </c>
      <c r="B54" s="150">
        <f>SUM(C54:D54)</f>
        <v>8909100</v>
      </c>
      <c r="C54" s="150">
        <f t="shared" ref="C54:T54" si="12">SUM(C45:C53)</f>
        <v>8909100</v>
      </c>
      <c r="D54" s="150">
        <f t="shared" si="12"/>
        <v>0</v>
      </c>
      <c r="E54" s="150">
        <f t="shared" si="12"/>
        <v>5433926</v>
      </c>
      <c r="F54" s="150">
        <f t="shared" si="12"/>
        <v>0</v>
      </c>
      <c r="G54" s="150">
        <f t="shared" si="12"/>
        <v>3475174</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1">
        <f t="shared" si="12"/>
        <v>8909100</v>
      </c>
      <c r="S54" s="150">
        <f t="shared" si="12"/>
        <v>4224000</v>
      </c>
      <c r="T54" s="150">
        <f t="shared" si="12"/>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43802</v>
      </c>
      <c r="C56" s="147">
        <v>43802</v>
      </c>
      <c r="D56" s="147"/>
      <c r="E56" s="147">
        <v>43802</v>
      </c>
      <c r="F56" s="147"/>
      <c r="G56" s="147"/>
      <c r="H56" s="147"/>
      <c r="I56" s="147"/>
      <c r="J56" s="147"/>
      <c r="K56" s="147"/>
      <c r="L56" s="147"/>
      <c r="M56" s="147"/>
      <c r="N56" s="147"/>
      <c r="O56" s="147"/>
      <c r="P56" s="147"/>
      <c r="Q56" s="147"/>
      <c r="R56" s="551">
        <f t="shared" ref="R56:R61" si="14">SUM(E56:Q56)</f>
        <v>43802</v>
      </c>
      <c r="S56" s="148"/>
      <c r="T56" s="148"/>
      <c r="U56" s="143"/>
    </row>
    <row r="57" spans="1:21" s="204" customFormat="1">
      <c r="A57" s="198" t="s">
        <v>153</v>
      </c>
      <c r="B57" s="205">
        <f t="shared" si="13"/>
        <v>86024</v>
      </c>
      <c r="C57" s="1260">
        <f>SUM(34272+31752+20000)</f>
        <v>86024</v>
      </c>
      <c r="D57" s="202"/>
      <c r="E57" s="202">
        <v>86024</v>
      </c>
      <c r="F57" s="202"/>
      <c r="G57" s="202"/>
      <c r="H57" s="202"/>
      <c r="I57" s="202"/>
      <c r="J57" s="202"/>
      <c r="K57" s="202"/>
      <c r="L57" s="202"/>
      <c r="M57" s="202"/>
      <c r="N57" s="202"/>
      <c r="O57" s="202"/>
      <c r="P57" s="202"/>
      <c r="Q57" s="202"/>
      <c r="R57" s="551">
        <f t="shared" si="14"/>
        <v>86024</v>
      </c>
      <c r="S57" s="206"/>
      <c r="T57" s="206"/>
      <c r="U57" s="203"/>
    </row>
    <row r="58" spans="1:21" s="144" customFormat="1">
      <c r="A58" s="145" t="s">
        <v>157</v>
      </c>
      <c r="B58" s="146">
        <f t="shared" si="13"/>
        <v>0</v>
      </c>
      <c r="C58" s="147"/>
      <c r="D58" s="147"/>
      <c r="E58" s="147"/>
      <c r="F58" s="147"/>
      <c r="G58" s="147"/>
      <c r="H58" s="147"/>
      <c r="I58" s="147"/>
      <c r="J58" s="147"/>
      <c r="K58" s="147"/>
      <c r="L58" s="147"/>
      <c r="M58" s="147"/>
      <c r="N58" s="147"/>
      <c r="O58" s="147"/>
      <c r="P58" s="147"/>
      <c r="Q58" s="147"/>
      <c r="R58" s="551">
        <f t="shared" si="14"/>
        <v>0</v>
      </c>
      <c r="S58" s="148"/>
      <c r="T58" s="148"/>
      <c r="U58" s="143"/>
    </row>
    <row r="59" spans="1:21" s="144" customFormat="1">
      <c r="A59" s="304" t="s">
        <v>155</v>
      </c>
      <c r="B59" s="146">
        <f t="shared" si="13"/>
        <v>0</v>
      </c>
      <c r="C59" s="147"/>
      <c r="D59" s="147"/>
      <c r="E59" s="147"/>
      <c r="F59" s="147"/>
      <c r="G59" s="147"/>
      <c r="H59" s="147"/>
      <c r="I59" s="147"/>
      <c r="J59" s="147"/>
      <c r="K59" s="147"/>
      <c r="L59" s="147"/>
      <c r="M59" s="147"/>
      <c r="N59" s="147"/>
      <c r="O59" s="147"/>
      <c r="P59" s="147"/>
      <c r="Q59" s="147"/>
      <c r="R59" s="551">
        <f t="shared" si="14"/>
        <v>0</v>
      </c>
      <c r="S59" s="148"/>
      <c r="T59" s="148"/>
      <c r="U59" s="143"/>
    </row>
    <row r="60" spans="1:21" s="144" customFormat="1">
      <c r="A60" s="145" t="s">
        <v>156</v>
      </c>
      <c r="B60" s="146">
        <f t="shared" si="13"/>
        <v>0</v>
      </c>
      <c r="C60" s="147"/>
      <c r="D60" s="147"/>
      <c r="E60" s="147"/>
      <c r="F60" s="147"/>
      <c r="G60" s="147"/>
      <c r="H60" s="147"/>
      <c r="I60" s="147"/>
      <c r="J60" s="147"/>
      <c r="K60" s="147"/>
      <c r="L60" s="147"/>
      <c r="M60" s="147"/>
      <c r="N60" s="147"/>
      <c r="O60" s="147"/>
      <c r="P60" s="147"/>
      <c r="Q60" s="147"/>
      <c r="R60" s="551">
        <f t="shared" si="14"/>
        <v>0</v>
      </c>
      <c r="S60" s="148"/>
      <c r="T60" s="148"/>
      <c r="U60" s="143"/>
    </row>
    <row r="61" spans="1:21" s="144" customFormat="1">
      <c r="A61" s="1202" t="s">
        <v>2691</v>
      </c>
      <c r="B61" s="146">
        <f t="shared" si="13"/>
        <v>50000</v>
      </c>
      <c r="C61" s="147">
        <v>50000</v>
      </c>
      <c r="D61" s="147"/>
      <c r="E61" s="147">
        <v>50000</v>
      </c>
      <c r="F61" s="147"/>
      <c r="G61" s="147"/>
      <c r="H61" s="147"/>
      <c r="I61" s="147"/>
      <c r="J61" s="147"/>
      <c r="K61" s="147"/>
      <c r="L61" s="147"/>
      <c r="M61" s="147"/>
      <c r="N61" s="147"/>
      <c r="O61" s="147"/>
      <c r="P61" s="147"/>
      <c r="Q61" s="147"/>
      <c r="R61" s="551">
        <f t="shared" si="14"/>
        <v>50000</v>
      </c>
      <c r="S61" s="148"/>
      <c r="T61" s="148"/>
      <c r="U61" s="143"/>
    </row>
    <row r="62" spans="1:21" s="144" customFormat="1" ht="13.65" customHeight="1">
      <c r="A62" s="149" t="s">
        <v>303</v>
      </c>
      <c r="B62" s="146">
        <f>SUM(C62:D62)</f>
        <v>179826</v>
      </c>
      <c r="C62" s="146">
        <f t="shared" ref="C62:R62" si="15">SUM(C56:C61)</f>
        <v>179826</v>
      </c>
      <c r="D62" s="146">
        <f t="shared" si="15"/>
        <v>0</v>
      </c>
      <c r="E62" s="146">
        <f t="shared" si="15"/>
        <v>179826</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1">
        <f t="shared" si="15"/>
        <v>179826</v>
      </c>
      <c r="S62" s="148"/>
      <c r="T62" s="148"/>
      <c r="U62" s="143"/>
    </row>
    <row r="63" spans="1:21" s="144" customFormat="1">
      <c r="A63" s="154" t="s">
        <v>304</v>
      </c>
      <c r="B63" s="146">
        <f t="shared" ref="B63:R63" si="16">SUM(B8+B11+B13+B14+B15+B26+B27+B38+B42+B43+B54+B62)</f>
        <v>62655332</v>
      </c>
      <c r="C63" s="146">
        <f t="shared" si="16"/>
        <v>62655332</v>
      </c>
      <c r="D63" s="146">
        <f t="shared" si="16"/>
        <v>0</v>
      </c>
      <c r="E63" s="146">
        <f t="shared" si="16"/>
        <v>18620491</v>
      </c>
      <c r="F63" s="146">
        <f t="shared" si="16"/>
        <v>40559667</v>
      </c>
      <c r="G63" s="146">
        <f t="shared" si="16"/>
        <v>3475174</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1">
        <f t="shared" si="16"/>
        <v>62655332</v>
      </c>
      <c r="S63" s="146">
        <f>SUM(S10+S13+S14+S15+S26+S27+S38+S42+S43+S54)</f>
        <v>56790406</v>
      </c>
      <c r="T63" s="146">
        <f>SUM(T11+T13+T14+T15+T26+T27+T38+T42+T43+T54)</f>
        <v>0</v>
      </c>
      <c r="U63" s="143"/>
    </row>
    <row r="64" spans="1:21" s="144" customFormat="1" ht="22.8">
      <c r="A64" s="141" t="s">
        <v>1823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60000</v>
      </c>
      <c r="C65" s="147">
        <v>60000</v>
      </c>
      <c r="D65" s="147"/>
      <c r="E65" s="147">
        <v>60000</v>
      </c>
      <c r="F65" s="147"/>
      <c r="G65" s="147"/>
      <c r="H65" s="147"/>
      <c r="I65" s="147"/>
      <c r="J65" s="147"/>
      <c r="K65" s="147"/>
      <c r="L65" s="147"/>
      <c r="M65" s="147"/>
      <c r="N65" s="147"/>
      <c r="O65" s="147"/>
      <c r="P65" s="147"/>
      <c r="Q65" s="147"/>
      <c r="R65" s="551">
        <f>SUM(E65:Q65)</f>
        <v>60000</v>
      </c>
      <c r="S65" s="147">
        <v>0</v>
      </c>
      <c r="T65" s="147"/>
      <c r="U65" s="143"/>
    </row>
    <row r="66" spans="1:21" s="144" customFormat="1" ht="24" customHeight="1">
      <c r="A66" s="304" t="s">
        <v>1820</v>
      </c>
      <c r="B66" s="146">
        <f>SUM(C66+D66)</f>
        <v>129500</v>
      </c>
      <c r="C66" s="147">
        <v>129500</v>
      </c>
      <c r="D66" s="147"/>
      <c r="E66" s="147">
        <v>129500</v>
      </c>
      <c r="F66" s="147"/>
      <c r="G66" s="147"/>
      <c r="H66" s="147"/>
      <c r="I66" s="147"/>
      <c r="J66" s="147"/>
      <c r="K66" s="147"/>
      <c r="L66" s="147"/>
      <c r="M66" s="147"/>
      <c r="N66" s="147"/>
      <c r="O66" s="147"/>
      <c r="P66" s="147"/>
      <c r="Q66" s="147"/>
      <c r="R66" s="551">
        <f>SUM(E66:Q66)</f>
        <v>129500</v>
      </c>
      <c r="S66" s="147">
        <v>80000</v>
      </c>
      <c r="T66" s="147"/>
      <c r="U66" s="143"/>
    </row>
    <row r="67" spans="1:21" s="144" customFormat="1" ht="24" customHeight="1">
      <c r="A67" s="304" t="s">
        <v>1821</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1827</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34</v>
      </c>
      <c r="B69" s="146">
        <f>SUM(C69+D69)</f>
        <v>0</v>
      </c>
      <c r="C69" s="147"/>
      <c r="D69" s="147"/>
      <c r="E69" s="147"/>
      <c r="F69" s="147"/>
      <c r="G69" s="147"/>
      <c r="H69" s="147"/>
      <c r="I69" s="147"/>
      <c r="J69" s="147"/>
      <c r="K69" s="147"/>
      <c r="L69" s="147"/>
      <c r="M69" s="147"/>
      <c r="N69" s="147"/>
      <c r="O69" s="147"/>
      <c r="P69" s="147"/>
      <c r="Q69" s="147"/>
      <c r="R69" s="551">
        <f>SUM(E69:Q69)</f>
        <v>0</v>
      </c>
      <c r="S69" s="147"/>
      <c r="T69" s="147"/>
      <c r="U69" s="143"/>
    </row>
    <row r="70" spans="1:21" s="144" customFormat="1" ht="12">
      <c r="A70" s="149" t="s">
        <v>1824</v>
      </c>
      <c r="B70" s="146">
        <f>SUM(C70:D70)</f>
        <v>189500</v>
      </c>
      <c r="C70" s="146">
        <f>SUM(C65:C69)</f>
        <v>189500</v>
      </c>
      <c r="D70" s="146">
        <f>SUM(D65:D69)</f>
        <v>0</v>
      </c>
      <c r="E70" s="146">
        <f t="shared" ref="E70:T70" si="17">SUM(E65:E69)</f>
        <v>189500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1">
        <f t="shared" si="17"/>
        <v>189500</v>
      </c>
      <c r="S70" s="150">
        <f t="shared" si="17"/>
        <v>80000</v>
      </c>
      <c r="T70" s="150">
        <f t="shared" si="17"/>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1039</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997590</v>
      </c>
      <c r="C75" s="147">
        <v>997590</v>
      </c>
      <c r="D75" s="147"/>
      <c r="E75" s="147">
        <v>997590</v>
      </c>
      <c r="F75" s="147"/>
      <c r="G75" s="147"/>
      <c r="H75" s="147"/>
      <c r="I75" s="147"/>
      <c r="J75" s="147"/>
      <c r="K75" s="147"/>
      <c r="L75" s="147"/>
      <c r="M75" s="147"/>
      <c r="N75" s="147"/>
      <c r="O75" s="147"/>
      <c r="P75" s="147"/>
      <c r="Q75" s="147"/>
      <c r="R75" s="551">
        <f>SUM(E75:Q75)</f>
        <v>997590</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ht="12">
      <c r="A77" s="149" t="s">
        <v>616</v>
      </c>
      <c r="B77" s="146">
        <f>SUM(C77:D77)</f>
        <v>997590</v>
      </c>
      <c r="C77" s="146">
        <f>SUM(C72:C76)</f>
        <v>997590</v>
      </c>
      <c r="D77" s="146">
        <f>SUM(D72:D76)</f>
        <v>0</v>
      </c>
      <c r="E77" s="146">
        <f t="shared" ref="E77:Q77" si="18">SUM(E72:E76)</f>
        <v>997590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1">
        <f>SUM(R72:R76)</f>
        <v>997590</v>
      </c>
      <c r="S77" s="148"/>
      <c r="T77" s="148"/>
      <c r="U77" s="143"/>
    </row>
    <row r="78" spans="1:21" s="144" customFormat="1">
      <c r="A78" s="141" t="s">
        <v>1352</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1354</v>
      </c>
      <c r="B79" s="146">
        <f>SUM(C79:D79)</f>
        <v>2465251</v>
      </c>
      <c r="C79" s="147">
        <v>2465251</v>
      </c>
      <c r="D79" s="147"/>
      <c r="E79" s="147">
        <v>2465251</v>
      </c>
      <c r="F79" s="147"/>
      <c r="G79" s="147"/>
      <c r="H79" s="147"/>
      <c r="I79" s="147"/>
      <c r="J79" s="147"/>
      <c r="K79" s="147"/>
      <c r="L79" s="147"/>
      <c r="M79" s="147"/>
      <c r="N79" s="147"/>
      <c r="O79" s="147"/>
      <c r="P79" s="147"/>
      <c r="Q79" s="147"/>
      <c r="R79" s="551">
        <f>SUM(E79:Q79)</f>
        <v>2465251</v>
      </c>
      <c r="S79" s="147">
        <v>2465251</v>
      </c>
      <c r="T79" s="147"/>
      <c r="U79" s="143"/>
    </row>
    <row r="80" spans="1:21" s="144" customFormat="1">
      <c r="A80" s="304" t="s">
        <v>58</v>
      </c>
      <c r="B80" s="146">
        <f>SUM(C80:D80)</f>
        <v>125000</v>
      </c>
      <c r="C80" s="147">
        <v>125000</v>
      </c>
      <c r="D80" s="147"/>
      <c r="E80" s="147">
        <v>125000</v>
      </c>
      <c r="F80" s="147"/>
      <c r="G80" s="147"/>
      <c r="H80" s="147"/>
      <c r="I80" s="147"/>
      <c r="J80" s="147"/>
      <c r="K80" s="147"/>
      <c r="L80" s="147"/>
      <c r="M80" s="147"/>
      <c r="N80" s="147"/>
      <c r="O80" s="147"/>
      <c r="P80" s="147"/>
      <c r="Q80" s="147"/>
      <c r="R80" s="551">
        <f>SUM(E80:Q80)</f>
        <v>125000</v>
      </c>
      <c r="S80" s="147">
        <v>125000</v>
      </c>
      <c r="T80" s="147"/>
      <c r="U80" s="143"/>
    </row>
    <row r="81" spans="1:21" s="144" customFormat="1" ht="12">
      <c r="A81" s="149" t="s">
        <v>1351</v>
      </c>
      <c r="B81" s="146">
        <f>SUM(C81:D81)</f>
        <v>2590251</v>
      </c>
      <c r="C81" s="544">
        <f>SUM(C79:C80)</f>
        <v>2590251</v>
      </c>
      <c r="D81" s="544">
        <f t="shared" ref="D81:T81" si="19">SUM(D79:D80)</f>
        <v>0</v>
      </c>
      <c r="E81" s="544">
        <f t="shared" si="19"/>
        <v>2590251</v>
      </c>
      <c r="F81" s="544">
        <f t="shared" si="19"/>
        <v>0</v>
      </c>
      <c r="G81" s="544">
        <f t="shared" si="19"/>
        <v>0</v>
      </c>
      <c r="H81" s="544">
        <f t="shared" si="19"/>
        <v>0</v>
      </c>
      <c r="I81" s="544">
        <f t="shared" si="19"/>
        <v>0</v>
      </c>
      <c r="J81" s="544">
        <f t="shared" si="19"/>
        <v>0</v>
      </c>
      <c r="K81" s="544">
        <f t="shared" si="19"/>
        <v>0</v>
      </c>
      <c r="L81" s="544">
        <f t="shared" si="19"/>
        <v>0</v>
      </c>
      <c r="M81" s="544">
        <f t="shared" si="19"/>
        <v>0</v>
      </c>
      <c r="N81" s="544">
        <f t="shared" si="19"/>
        <v>0</v>
      </c>
      <c r="O81" s="544">
        <f t="shared" si="19"/>
        <v>0</v>
      </c>
      <c r="P81" s="544">
        <f t="shared" si="19"/>
        <v>0</v>
      </c>
      <c r="Q81" s="544">
        <f t="shared" si="19"/>
        <v>0</v>
      </c>
      <c r="R81" s="544">
        <f t="shared" si="19"/>
        <v>2590251</v>
      </c>
      <c r="S81" s="544">
        <f t="shared" si="19"/>
        <v>2590251</v>
      </c>
      <c r="T81" s="544">
        <f t="shared" si="19"/>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65" customHeight="1">
      <c r="A83" s="145" t="s">
        <v>2511</v>
      </c>
      <c r="B83" s="146">
        <f t="shared" ref="B83:B95" si="20">SUM(C83+D83)</f>
        <v>138072</v>
      </c>
      <c r="C83" s="147">
        <v>138072</v>
      </c>
      <c r="D83" s="147"/>
      <c r="E83" s="147">
        <v>138072</v>
      </c>
      <c r="F83" s="147"/>
      <c r="G83" s="147"/>
      <c r="H83" s="147"/>
      <c r="I83" s="147"/>
      <c r="J83" s="147"/>
      <c r="K83" s="147"/>
      <c r="L83" s="147"/>
      <c r="M83" s="147"/>
      <c r="N83" s="147"/>
      <c r="O83" s="147"/>
      <c r="P83" s="147"/>
      <c r="Q83" s="147"/>
      <c r="R83" s="551">
        <f t="shared" ref="R83:R95" si="21">SUM(E83:Q83)</f>
        <v>138072</v>
      </c>
      <c r="S83" s="148"/>
      <c r="T83" s="148"/>
      <c r="U83" s="143"/>
    </row>
    <row r="84" spans="1:21" s="144" customFormat="1">
      <c r="A84" s="145" t="s">
        <v>792</v>
      </c>
      <c r="B84" s="146">
        <f t="shared" si="20"/>
        <v>503500</v>
      </c>
      <c r="C84" s="147">
        <v>503500</v>
      </c>
      <c r="D84" s="147"/>
      <c r="E84" s="147">
        <v>503500</v>
      </c>
      <c r="F84" s="147"/>
      <c r="G84" s="147"/>
      <c r="H84" s="147"/>
      <c r="I84" s="147"/>
      <c r="J84" s="147"/>
      <c r="K84" s="147"/>
      <c r="L84" s="147"/>
      <c r="M84" s="147"/>
      <c r="N84" s="147"/>
      <c r="O84" s="147"/>
      <c r="P84" s="147"/>
      <c r="Q84" s="147"/>
      <c r="R84" s="551">
        <f t="shared" si="21"/>
        <v>503500</v>
      </c>
      <c r="S84" s="147">
        <v>503500</v>
      </c>
      <c r="T84" s="147"/>
      <c r="U84" s="143"/>
    </row>
    <row r="85" spans="1:21" s="144" customFormat="1">
      <c r="A85" s="145" t="s">
        <v>793</v>
      </c>
      <c r="B85" s="146">
        <f t="shared" si="20"/>
        <v>8730343</v>
      </c>
      <c r="C85" s="147">
        <v>8730343</v>
      </c>
      <c r="D85" s="147"/>
      <c r="E85" s="147">
        <v>8730343</v>
      </c>
      <c r="F85" s="147"/>
      <c r="G85" s="147"/>
      <c r="H85" s="147"/>
      <c r="I85" s="147"/>
      <c r="J85" s="147"/>
      <c r="K85" s="147"/>
      <c r="L85" s="147"/>
      <c r="M85" s="147"/>
      <c r="N85" s="147"/>
      <c r="O85" s="147"/>
      <c r="P85" s="147"/>
      <c r="Q85" s="147"/>
      <c r="R85" s="551">
        <f t="shared" si="21"/>
        <v>8730343</v>
      </c>
      <c r="S85" s="147">
        <v>8730343</v>
      </c>
      <c r="T85" s="147"/>
      <c r="U85" s="143"/>
    </row>
    <row r="86" spans="1:21" s="144" customFormat="1">
      <c r="A86" s="145" t="s">
        <v>794</v>
      </c>
      <c r="B86" s="146">
        <f t="shared" si="20"/>
        <v>2000000</v>
      </c>
      <c r="C86" s="147">
        <v>2000000</v>
      </c>
      <c r="D86" s="147"/>
      <c r="E86" s="147">
        <v>2000000</v>
      </c>
      <c r="F86" s="147"/>
      <c r="G86" s="147"/>
      <c r="H86" s="147"/>
      <c r="I86" s="147"/>
      <c r="J86" s="147"/>
      <c r="K86" s="147"/>
      <c r="L86" s="147"/>
      <c r="M86" s="147"/>
      <c r="N86" s="147"/>
      <c r="O86" s="147"/>
      <c r="P86" s="147"/>
      <c r="Q86" s="147"/>
      <c r="R86" s="551">
        <f t="shared" si="21"/>
        <v>2000000</v>
      </c>
      <c r="S86" s="147">
        <v>2000000</v>
      </c>
      <c r="T86" s="147"/>
      <c r="U86" s="143"/>
    </row>
    <row r="87" spans="1:21" s="144" customFormat="1">
      <c r="A87" s="145" t="s">
        <v>795</v>
      </c>
      <c r="B87" s="146">
        <f t="shared" si="20"/>
        <v>0</v>
      </c>
      <c r="C87" s="147"/>
      <c r="D87" s="147"/>
      <c r="E87" s="147"/>
      <c r="F87" s="147"/>
      <c r="G87" s="147"/>
      <c r="H87" s="147"/>
      <c r="I87" s="147"/>
      <c r="J87" s="147"/>
      <c r="K87" s="147"/>
      <c r="L87" s="147"/>
      <c r="M87" s="147"/>
      <c r="N87" s="147"/>
      <c r="O87" s="147"/>
      <c r="P87" s="147"/>
      <c r="Q87" s="147"/>
      <c r="R87" s="551">
        <f t="shared" si="21"/>
        <v>0</v>
      </c>
      <c r="S87" s="147"/>
      <c r="T87" s="147"/>
      <c r="U87" s="143"/>
    </row>
    <row r="88" spans="1:21" s="144" customFormat="1">
      <c r="A88" s="145" t="s">
        <v>796</v>
      </c>
      <c r="B88" s="146">
        <f t="shared" si="20"/>
        <v>370979</v>
      </c>
      <c r="C88" s="147">
        <v>370979</v>
      </c>
      <c r="D88" s="147"/>
      <c r="E88" s="147">
        <v>370979</v>
      </c>
      <c r="F88" s="147"/>
      <c r="G88" s="147"/>
      <c r="H88" s="147"/>
      <c r="I88" s="147"/>
      <c r="J88" s="147"/>
      <c r="K88" s="147"/>
      <c r="L88" s="147"/>
      <c r="M88" s="147"/>
      <c r="N88" s="147"/>
      <c r="O88" s="147"/>
      <c r="P88" s="147"/>
      <c r="Q88" s="147"/>
      <c r="R88" s="551">
        <f t="shared" si="21"/>
        <v>370979</v>
      </c>
      <c r="S88" s="148"/>
      <c r="T88" s="148"/>
      <c r="U88" s="143"/>
    </row>
    <row r="89" spans="1:21" s="144" customFormat="1">
      <c r="A89" s="145" t="s">
        <v>797</v>
      </c>
      <c r="B89" s="146">
        <f t="shared" si="20"/>
        <v>400000</v>
      </c>
      <c r="C89" s="147">
        <v>400000</v>
      </c>
      <c r="D89" s="147"/>
      <c r="E89" s="147">
        <v>400000</v>
      </c>
      <c r="F89" s="147"/>
      <c r="G89" s="147"/>
      <c r="H89" s="147"/>
      <c r="I89" s="147"/>
      <c r="J89" s="147"/>
      <c r="K89" s="147"/>
      <c r="L89" s="147"/>
      <c r="M89" s="147"/>
      <c r="N89" s="147"/>
      <c r="O89" s="147"/>
      <c r="P89" s="147"/>
      <c r="Q89" s="147"/>
      <c r="R89" s="551">
        <f t="shared" si="21"/>
        <v>400000</v>
      </c>
      <c r="S89" s="147">
        <v>400000</v>
      </c>
      <c r="T89" s="147"/>
      <c r="U89" s="143"/>
    </row>
    <row r="90" spans="1:21" s="144" customFormat="1">
      <c r="A90" s="145" t="s">
        <v>798</v>
      </c>
      <c r="B90" s="146">
        <f t="shared" si="20"/>
        <v>10000</v>
      </c>
      <c r="C90" s="147">
        <v>10000</v>
      </c>
      <c r="D90" s="147"/>
      <c r="E90" s="147">
        <v>10000</v>
      </c>
      <c r="F90" s="147"/>
      <c r="G90" s="147"/>
      <c r="H90" s="147"/>
      <c r="I90" s="147"/>
      <c r="J90" s="147"/>
      <c r="K90" s="147"/>
      <c r="L90" s="147"/>
      <c r="M90" s="147"/>
      <c r="N90" s="147"/>
      <c r="O90" s="147"/>
      <c r="P90" s="147"/>
      <c r="Q90" s="147"/>
      <c r="R90" s="551">
        <f t="shared" si="21"/>
        <v>10000</v>
      </c>
      <c r="S90" s="147">
        <v>10000</v>
      </c>
      <c r="T90" s="147"/>
      <c r="U90" s="143"/>
    </row>
    <row r="91" spans="1:21" s="144" customFormat="1">
      <c r="A91" s="145" t="s">
        <v>374</v>
      </c>
      <c r="B91" s="146">
        <f t="shared" si="20"/>
        <v>110000</v>
      </c>
      <c r="C91" s="147">
        <v>110000</v>
      </c>
      <c r="D91" s="147"/>
      <c r="E91" s="147">
        <v>110000</v>
      </c>
      <c r="F91" s="147"/>
      <c r="G91" s="147"/>
      <c r="H91" s="147"/>
      <c r="I91" s="147"/>
      <c r="J91" s="147"/>
      <c r="K91" s="147"/>
      <c r="L91" s="147"/>
      <c r="M91" s="147"/>
      <c r="N91" s="147"/>
      <c r="O91" s="147"/>
      <c r="P91" s="147"/>
      <c r="Q91" s="147"/>
      <c r="R91" s="551">
        <f t="shared" si="21"/>
        <v>110000</v>
      </c>
      <c r="S91" s="147">
        <v>110000</v>
      </c>
      <c r="T91" s="147"/>
      <c r="U91" s="143"/>
    </row>
    <row r="92" spans="1:21" s="144" customFormat="1">
      <c r="A92" s="304" t="s">
        <v>1353</v>
      </c>
      <c r="B92" s="146">
        <f t="shared" si="20"/>
        <v>10000</v>
      </c>
      <c r="C92" s="147">
        <v>10000</v>
      </c>
      <c r="D92" s="147"/>
      <c r="E92" s="147">
        <v>10000</v>
      </c>
      <c r="F92" s="147"/>
      <c r="G92" s="147"/>
      <c r="H92" s="147"/>
      <c r="I92" s="147"/>
      <c r="J92" s="147"/>
      <c r="K92" s="147"/>
      <c r="L92" s="147"/>
      <c r="M92" s="147"/>
      <c r="N92" s="147"/>
      <c r="O92" s="147"/>
      <c r="P92" s="147"/>
      <c r="Q92" s="147"/>
      <c r="R92" s="551">
        <f t="shared" si="21"/>
        <v>10000</v>
      </c>
      <c r="S92" s="147">
        <v>10000</v>
      </c>
      <c r="T92" s="147"/>
      <c r="U92" s="143"/>
    </row>
    <row r="93" spans="1:21" s="144" customFormat="1">
      <c r="A93" s="1202" t="s">
        <v>34</v>
      </c>
      <c r="B93" s="146">
        <f t="shared" si="20"/>
        <v>0</v>
      </c>
      <c r="C93" s="147"/>
      <c r="D93" s="147"/>
      <c r="E93" s="147"/>
      <c r="F93" s="147"/>
      <c r="G93" s="147"/>
      <c r="H93" s="147"/>
      <c r="I93" s="147"/>
      <c r="J93" s="147"/>
      <c r="K93" s="147"/>
      <c r="L93" s="147"/>
      <c r="M93" s="147"/>
      <c r="N93" s="147"/>
      <c r="O93" s="147"/>
      <c r="P93" s="147"/>
      <c r="Q93" s="147"/>
      <c r="R93" s="551">
        <f t="shared" si="21"/>
        <v>0</v>
      </c>
      <c r="S93" s="147"/>
      <c r="T93" s="147"/>
      <c r="U93" s="143"/>
    </row>
    <row r="94" spans="1:21" s="144" customFormat="1">
      <c r="A94" s="1202" t="s">
        <v>34</v>
      </c>
      <c r="B94" s="146">
        <f t="shared" si="20"/>
        <v>0</v>
      </c>
      <c r="C94" s="147"/>
      <c r="D94" s="147"/>
      <c r="E94" s="147"/>
      <c r="F94" s="147"/>
      <c r="G94" s="147"/>
      <c r="H94" s="147"/>
      <c r="I94" s="147"/>
      <c r="J94" s="147"/>
      <c r="K94" s="147"/>
      <c r="L94" s="147"/>
      <c r="M94" s="147"/>
      <c r="N94" s="147"/>
      <c r="O94" s="147"/>
      <c r="P94" s="147"/>
      <c r="Q94" s="147"/>
      <c r="R94" s="551">
        <f t="shared" si="21"/>
        <v>0</v>
      </c>
      <c r="S94" s="147"/>
      <c r="T94" s="147"/>
      <c r="U94" s="143"/>
    </row>
    <row r="95" spans="1:21" s="144" customFormat="1">
      <c r="A95" s="1202" t="s">
        <v>34</v>
      </c>
      <c r="B95" s="146">
        <f t="shared" si="20"/>
        <v>0</v>
      </c>
      <c r="C95" s="147"/>
      <c r="D95" s="147"/>
      <c r="E95" s="147"/>
      <c r="F95" s="147"/>
      <c r="G95" s="147"/>
      <c r="H95" s="147"/>
      <c r="I95" s="147"/>
      <c r="J95" s="147"/>
      <c r="K95" s="147"/>
      <c r="L95" s="147"/>
      <c r="M95" s="147"/>
      <c r="N95" s="147"/>
      <c r="O95" s="147"/>
      <c r="P95" s="147"/>
      <c r="Q95" s="147"/>
      <c r="R95" s="551">
        <f t="shared" si="21"/>
        <v>0</v>
      </c>
      <c r="S95" s="147"/>
      <c r="T95" s="147"/>
      <c r="U95" s="143"/>
    </row>
    <row r="96" spans="1:21" s="144" customFormat="1" ht="12">
      <c r="A96" s="149" t="s">
        <v>799</v>
      </c>
      <c r="B96" s="146">
        <f>SUM(C96:D96)</f>
        <v>12272894</v>
      </c>
      <c r="C96" s="146">
        <f t="shared" ref="C96:R96" si="22">SUM(C83:C95)</f>
        <v>12272894</v>
      </c>
      <c r="D96" s="146">
        <f t="shared" si="22"/>
        <v>0</v>
      </c>
      <c r="E96" s="146">
        <f t="shared" si="22"/>
        <v>12272894</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1">
        <f t="shared" si="22"/>
        <v>12272894</v>
      </c>
      <c r="S96" s="150">
        <f>SUM(S84:S87,S89:S95)</f>
        <v>11763843</v>
      </c>
      <c r="T96" s="146">
        <f>SUM(T84:T87,T89:T95)</f>
        <v>0</v>
      </c>
      <c r="U96" s="143"/>
    </row>
    <row r="97" spans="1:21" s="144" customFormat="1" ht="12">
      <c r="A97" s="149" t="s">
        <v>800</v>
      </c>
      <c r="B97" s="146">
        <f>SUM(C97:D97)</f>
        <v>78705567</v>
      </c>
      <c r="C97" s="146">
        <f t="shared" ref="C97:R97" si="23">SUM(C63+C70+C77+C81+C96)</f>
        <v>78705567</v>
      </c>
      <c r="D97" s="146">
        <f t="shared" si="23"/>
        <v>0</v>
      </c>
      <c r="E97" s="146">
        <f t="shared" si="23"/>
        <v>34670726</v>
      </c>
      <c r="F97" s="146">
        <f t="shared" si="23"/>
        <v>40559667</v>
      </c>
      <c r="G97" s="146">
        <f t="shared" si="23"/>
        <v>3475174</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78705567</v>
      </c>
      <c r="S97" s="146">
        <f>SUM(S63+S70+S81+S96)</f>
        <v>71224500</v>
      </c>
      <c r="T97" s="146">
        <f>SUM(T63+T70+T81+T96)</f>
        <v>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10683675</v>
      </c>
      <c r="C99" s="1016">
        <v>10683675</v>
      </c>
      <c r="D99" s="1016"/>
      <c r="E99" s="1016">
        <v>2171571</v>
      </c>
      <c r="F99" s="147"/>
      <c r="G99" s="147"/>
      <c r="H99" s="147">
        <v>8512104</v>
      </c>
      <c r="I99" s="147"/>
      <c r="J99" s="147"/>
      <c r="K99" s="147"/>
      <c r="L99" s="147"/>
      <c r="M99" s="147"/>
      <c r="N99" s="147"/>
      <c r="O99" s="147"/>
      <c r="P99" s="147"/>
      <c r="Q99" s="147"/>
      <c r="R99" s="551">
        <f>SUM(E99:Q99)</f>
        <v>10683675</v>
      </c>
      <c r="S99" s="147">
        <v>10683675</v>
      </c>
      <c r="T99" s="147"/>
      <c r="U99" s="143"/>
    </row>
    <row r="100" spans="1:21" s="144" customFormat="1">
      <c r="A100" s="304" t="s">
        <v>1825</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1826</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ht="12">
      <c r="A104" s="149" t="s">
        <v>804</v>
      </c>
      <c r="B104" s="146">
        <f>SUM(C104:D104)</f>
        <v>10683675</v>
      </c>
      <c r="C104" s="146">
        <f>SUM(C99:C103)</f>
        <v>10683675</v>
      </c>
      <c r="D104" s="146">
        <f t="shared" ref="D104:T104" si="24">SUM(D99:D103)</f>
        <v>0</v>
      </c>
      <c r="E104" s="146">
        <f t="shared" si="24"/>
        <v>2171571</v>
      </c>
      <c r="F104" s="146">
        <f t="shared" si="24"/>
        <v>0</v>
      </c>
      <c r="G104" s="146">
        <f t="shared" si="24"/>
        <v>0</v>
      </c>
      <c r="H104" s="146">
        <f t="shared" si="24"/>
        <v>8512104</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1">
        <f t="shared" si="24"/>
        <v>10683675</v>
      </c>
      <c r="S104" s="150">
        <f t="shared" si="24"/>
        <v>10683675</v>
      </c>
      <c r="T104" s="150">
        <f t="shared" si="24"/>
        <v>0</v>
      </c>
      <c r="U104" s="143"/>
    </row>
    <row r="105" spans="1:21" s="144" customFormat="1" ht="12">
      <c r="A105" s="149" t="s">
        <v>805</v>
      </c>
      <c r="B105" s="150">
        <f>SUM(C105:D105)</f>
        <v>89389242</v>
      </c>
      <c r="C105" s="150">
        <f t="shared" ref="C105:R105" si="25">SUM(C97+C104)</f>
        <v>89389242</v>
      </c>
      <c r="D105" s="150">
        <f t="shared" si="25"/>
        <v>0</v>
      </c>
      <c r="E105" s="150">
        <f t="shared" si="25"/>
        <v>36842297</v>
      </c>
      <c r="F105" s="150">
        <f t="shared" si="25"/>
        <v>40559667</v>
      </c>
      <c r="G105" s="150">
        <f t="shared" si="25"/>
        <v>3475174</v>
      </c>
      <c r="H105" s="150">
        <f t="shared" si="25"/>
        <v>8512104</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1">
        <f t="shared" si="25"/>
        <v>89389242</v>
      </c>
      <c r="S105" s="150">
        <f>S97+S104</f>
        <v>81908175</v>
      </c>
      <c r="T105" s="150">
        <f>T97+T104</f>
        <v>0</v>
      </c>
      <c r="U105" s="143"/>
    </row>
    <row r="106" spans="1:21" ht="12">
      <c r="A106" s="549" t="s">
        <v>1080</v>
      </c>
      <c r="B106" s="157"/>
      <c r="C106" s="157"/>
      <c r="D106" s="157"/>
      <c r="H106" s="159" t="s">
        <v>93</v>
      </c>
      <c r="I106" s="159"/>
      <c r="J106" s="159"/>
      <c r="R106" s="160" t="s">
        <v>94</v>
      </c>
      <c r="S106" s="147"/>
      <c r="T106" s="147"/>
    </row>
    <row r="107" spans="1:21" ht="12">
      <c r="A107" s="157" t="s">
        <v>185</v>
      </c>
      <c r="C107" s="157"/>
      <c r="D107" s="157"/>
      <c r="I107" s="162" t="s">
        <v>352</v>
      </c>
      <c r="J107" s="162"/>
      <c r="R107" s="160" t="s">
        <v>95</v>
      </c>
      <c r="S107" s="150">
        <f>S105+S106</f>
        <v>81908175</v>
      </c>
      <c r="T107" s="150">
        <f>T105+T106</f>
        <v>0</v>
      </c>
    </row>
    <row r="108" spans="1:21" s="201" customFormat="1" ht="12">
      <c r="A108" s="162" t="s">
        <v>908</v>
      </c>
      <c r="B108" s="157"/>
      <c r="C108" s="157"/>
      <c r="D108" s="157"/>
      <c r="E108" s="323">
        <f>Application!AO636</f>
        <v>36842297</v>
      </c>
      <c r="F108" s="323">
        <f>Application!AO623</f>
        <v>40559667</v>
      </c>
      <c r="G108" s="323">
        <f>Application!AO624</f>
        <v>3475174</v>
      </c>
      <c r="H108" s="323">
        <f>Application!AO625</f>
        <v>8512104</v>
      </c>
      <c r="I108" s="323">
        <f>Application!AO626</f>
        <v>0</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99999999999999" customHeight="1">
      <c r="A109" s="157"/>
      <c r="B109" s="157"/>
      <c r="C109" s="157"/>
      <c r="D109" s="157"/>
    </row>
    <row r="110" spans="1:21" ht="12">
      <c r="A110" s="162" t="s">
        <v>998</v>
      </c>
      <c r="B110" s="157"/>
      <c r="C110" s="157"/>
      <c r="D110" s="157"/>
    </row>
    <row r="111" spans="1:21" ht="12">
      <c r="A111" s="156" t="s">
        <v>999</v>
      </c>
      <c r="B111" s="157"/>
      <c r="C111" s="157"/>
      <c r="D111" s="157"/>
    </row>
    <row r="112" spans="1:21" ht="12" customHeight="1">
      <c r="A112" s="336"/>
      <c r="B112" s="157"/>
      <c r="C112" s="157"/>
      <c r="D112" s="157"/>
    </row>
    <row r="113" spans="1:21" ht="12">
      <c r="A113" s="156" t="s">
        <v>1076</v>
      </c>
      <c r="B113" s="157"/>
      <c r="C113" s="157"/>
      <c r="D113" s="157"/>
    </row>
    <row r="114" spans="1:21" ht="12">
      <c r="A114" s="156" t="s">
        <v>2512</v>
      </c>
      <c r="B114" s="157"/>
      <c r="C114" s="157"/>
      <c r="D114" s="157"/>
    </row>
    <row r="115" spans="1:21" ht="12" customHeight="1">
      <c r="A115" s="336"/>
      <c r="B115" s="157"/>
      <c r="C115" s="157"/>
      <c r="D115" s="157"/>
    </row>
    <row r="116" spans="1:21" ht="12">
      <c r="A116" s="374" t="s">
        <v>1082</v>
      </c>
      <c r="B116" s="157"/>
      <c r="C116" s="157"/>
      <c r="D116" s="157"/>
    </row>
    <row r="117" spans="1:21" ht="12">
      <c r="A117" s="374" t="s">
        <v>1369</v>
      </c>
      <c r="B117" s="157"/>
      <c r="C117" s="157"/>
      <c r="D117" s="157"/>
    </row>
    <row r="118" spans="1:21" ht="12">
      <c r="A118" s="374" t="s">
        <v>1081</v>
      </c>
      <c r="B118" s="157"/>
      <c r="C118" s="157"/>
      <c r="D118" s="157"/>
    </row>
    <row r="119" spans="1:21" ht="12">
      <c r="A119" s="374" t="s">
        <v>1083</v>
      </c>
      <c r="B119" s="157"/>
      <c r="C119" s="157"/>
      <c r="D119" s="157"/>
    </row>
    <row r="120" spans="1:21" ht="12" customHeight="1">
      <c r="A120" s="373"/>
      <c r="B120" s="157"/>
      <c r="C120" s="157"/>
      <c r="D120" s="157"/>
    </row>
    <row r="121" spans="1:21" ht="15.6">
      <c r="A121" s="367" t="s">
        <v>1061</v>
      </c>
      <c r="B121" s="157"/>
      <c r="C121" s="157"/>
      <c r="D121" s="157"/>
    </row>
    <row r="122" spans="1:21">
      <c r="A122" s="354" t="s">
        <v>1045</v>
      </c>
      <c r="B122" s="353"/>
      <c r="C122" s="353"/>
      <c r="D122" s="1862" t="s">
        <v>1046</v>
      </c>
      <c r="E122" s="1862"/>
      <c r="F122" s="1862"/>
      <c r="G122" s="353"/>
      <c r="H122" s="353"/>
      <c r="I122" s="353"/>
      <c r="J122" s="353"/>
      <c r="K122" s="353"/>
      <c r="L122" s="353"/>
      <c r="M122" s="353"/>
      <c r="N122" s="353"/>
      <c r="O122" s="353"/>
      <c r="P122" s="353"/>
      <c r="Q122" s="353"/>
      <c r="R122" s="353"/>
      <c r="S122" s="353"/>
      <c r="T122" s="353"/>
      <c r="U122" s="355"/>
    </row>
    <row r="123" spans="1:21">
      <c r="A123" s="353" t="s">
        <v>1047</v>
      </c>
      <c r="B123" s="362"/>
      <c r="C123" s="353"/>
      <c r="D123" s="1853" t="s">
        <v>1370</v>
      </c>
      <c r="E123" s="1854"/>
      <c r="F123" s="1854"/>
      <c r="G123" s="1854"/>
      <c r="H123" s="1854"/>
      <c r="I123" s="1854"/>
      <c r="J123" s="1854"/>
      <c r="K123" s="1854"/>
      <c r="L123" s="1854"/>
      <c r="M123" s="1854"/>
      <c r="N123" s="1854"/>
      <c r="O123" s="1854"/>
      <c r="P123" s="1854"/>
      <c r="Q123" s="1854"/>
      <c r="R123" s="1854"/>
      <c r="S123" s="1854"/>
      <c r="T123" s="353"/>
      <c r="U123" s="355"/>
    </row>
    <row r="124" spans="1:21" ht="13.2">
      <c r="A124" s="117" t="s">
        <v>1048</v>
      </c>
      <c r="B124" s="362"/>
      <c r="C124" s="117"/>
      <c r="D124" s="1854"/>
      <c r="E124" s="1854"/>
      <c r="F124" s="1854"/>
      <c r="G124" s="1854"/>
      <c r="H124" s="1854"/>
      <c r="I124" s="1854"/>
      <c r="J124" s="1854"/>
      <c r="K124" s="1854"/>
      <c r="L124" s="1854"/>
      <c r="M124" s="1854"/>
      <c r="N124" s="1854"/>
      <c r="O124" s="1854"/>
      <c r="P124" s="1854"/>
      <c r="Q124" s="1854"/>
      <c r="R124" s="1854"/>
      <c r="S124" s="1854"/>
      <c r="T124" s="353"/>
      <c r="U124" s="355"/>
    </row>
    <row r="125" spans="1:21" ht="13.2">
      <c r="A125" s="117" t="s">
        <v>1049</v>
      </c>
      <c r="B125" s="362"/>
      <c r="C125" s="117"/>
      <c r="D125" s="1854"/>
      <c r="E125" s="1854"/>
      <c r="F125" s="1854"/>
      <c r="G125" s="1854"/>
      <c r="H125" s="1854"/>
      <c r="I125" s="1854"/>
      <c r="J125" s="1854"/>
      <c r="K125" s="1854"/>
      <c r="L125" s="1854"/>
      <c r="M125" s="1854"/>
      <c r="N125" s="1854"/>
      <c r="O125" s="1854"/>
      <c r="P125" s="1854"/>
      <c r="Q125" s="1854"/>
      <c r="R125" s="1854"/>
      <c r="S125" s="1854"/>
      <c r="T125" s="353"/>
      <c r="U125" s="355"/>
    </row>
    <row r="126" spans="1:21" ht="13.2">
      <c r="A126" s="117" t="s">
        <v>1050</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3.2">
      <c r="A127" s="117" t="s">
        <v>1051</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3.2">
      <c r="A128" s="117" t="s">
        <v>1052</v>
      </c>
      <c r="B128" s="362"/>
      <c r="C128" s="117"/>
      <c r="D128" s="1857"/>
      <c r="E128" s="1857"/>
      <c r="F128" s="1857"/>
      <c r="G128" s="1857"/>
      <c r="H128" s="1857"/>
      <c r="I128" s="117"/>
      <c r="J128" s="1852"/>
      <c r="K128" s="1852"/>
      <c r="L128" s="117"/>
      <c r="M128" s="117"/>
      <c r="N128" s="117"/>
      <c r="O128" s="117"/>
      <c r="P128" s="117"/>
      <c r="Q128" s="117"/>
      <c r="R128" s="117"/>
      <c r="S128" s="117"/>
      <c r="T128" s="353"/>
      <c r="U128" s="355"/>
    </row>
    <row r="129" spans="1:21" ht="13.2">
      <c r="A129" s="117" t="s">
        <v>302</v>
      </c>
      <c r="B129" s="362"/>
      <c r="C129" s="117"/>
      <c r="D129" s="1861" t="s">
        <v>1053</v>
      </c>
      <c r="E129" s="1861"/>
      <c r="F129" s="1861"/>
      <c r="G129" s="1861"/>
      <c r="H129" s="1861"/>
      <c r="I129" s="117"/>
      <c r="J129" s="117" t="s">
        <v>1054</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2">
      <c r="A131" s="364" t="s">
        <v>1055</v>
      </c>
      <c r="B131" s="363">
        <f>SUM(B123:B129)</f>
        <v>0</v>
      </c>
      <c r="C131" s="117"/>
      <c r="D131" s="1438"/>
      <c r="E131" s="1438"/>
      <c r="F131" s="1438"/>
      <c r="G131" s="1438"/>
      <c r="H131" s="1438"/>
      <c r="I131" s="117"/>
      <c r="J131" s="1438"/>
      <c r="K131" s="1438"/>
      <c r="L131" s="1438"/>
      <c r="M131" s="1438"/>
      <c r="N131" s="117"/>
      <c r="O131" s="117"/>
      <c r="P131" s="117"/>
      <c r="Q131" s="117"/>
      <c r="R131" s="117"/>
      <c r="S131" s="117"/>
      <c r="T131" s="353"/>
      <c r="U131" s="355"/>
    </row>
    <row r="132" spans="1:21" ht="12" customHeight="1">
      <c r="A132" s="365"/>
      <c r="B132" s="117"/>
      <c r="C132" s="117"/>
      <c r="D132" s="1855" t="s">
        <v>1056</v>
      </c>
      <c r="E132" s="1855"/>
      <c r="F132" s="1855"/>
      <c r="G132" s="1855"/>
      <c r="H132" s="1855"/>
      <c r="I132" s="117"/>
      <c r="J132" s="1855" t="s">
        <v>1057</v>
      </c>
      <c r="K132" s="1855"/>
      <c r="L132" s="1855"/>
      <c r="M132" s="1855"/>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3.2">
      <c r="A134" s="91" t="s">
        <v>1058</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2">
      <c r="A135" s="336" t="s">
        <v>1059</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3.2">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56"/>
      <c r="B138" s="1857"/>
      <c r="C138" s="1857"/>
      <c r="D138" s="357"/>
      <c r="E138" s="1852"/>
      <c r="F138" s="1852"/>
      <c r="G138" s="117"/>
      <c r="H138" s="117"/>
      <c r="I138" s="117"/>
      <c r="J138" s="117"/>
      <c r="K138" s="117"/>
      <c r="L138" s="117"/>
      <c r="M138" s="117"/>
      <c r="N138" s="117"/>
      <c r="O138" s="117"/>
      <c r="P138" s="117"/>
      <c r="Q138" s="117"/>
      <c r="R138" s="117"/>
      <c r="S138" s="117"/>
      <c r="T138" s="359"/>
      <c r="U138" s="360"/>
    </row>
    <row r="139" spans="1:21" ht="13.2">
      <c r="A139" s="1851" t="s">
        <v>1060</v>
      </c>
      <c r="B139" s="1851"/>
      <c r="C139" s="1851"/>
      <c r="D139" s="357"/>
      <c r="E139" s="117" t="s">
        <v>1054</v>
      </c>
      <c r="F139" s="117"/>
      <c r="G139" s="117"/>
      <c r="H139" s="117"/>
      <c r="I139" s="117"/>
      <c r="J139" s="117"/>
      <c r="K139" s="117"/>
      <c r="L139" s="117"/>
      <c r="M139" s="117"/>
      <c r="N139" s="117"/>
      <c r="O139" s="117"/>
      <c r="P139" s="117"/>
      <c r="Q139" s="117"/>
      <c r="R139" s="117"/>
      <c r="S139" s="117"/>
      <c r="T139" s="359"/>
      <c r="U139" s="360"/>
    </row>
    <row r="140" spans="1:21" ht="13.2">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24" zoomScaleNormal="100" zoomScaleSheetLayoutView="100" workbookViewId="0">
      <selection activeCell="C4" sqref="C4"/>
    </sheetView>
  </sheetViews>
  <sheetFormatPr defaultColWidth="0" defaultRowHeight="12" zeroHeight="1"/>
  <cols>
    <col min="1" max="1" width="32.6640625" style="429" customWidth="1"/>
    <col min="2" max="3" width="12.109375" style="425" customWidth="1"/>
    <col min="4" max="6" width="12.88671875" style="425" customWidth="1"/>
    <col min="7" max="9" width="12.109375" style="425" customWidth="1"/>
    <col min="10" max="10" width="12.109375" style="426" customWidth="1"/>
    <col min="11" max="11" width="8.88671875" style="427" hidden="1" customWidth="1"/>
    <col min="12" max="21" width="8.88671875" style="425" hidden="1" customWidth="1"/>
    <col min="22" max="23" width="0" style="425" hidden="1"/>
    <col min="24" max="256" width="8.88671875" style="425" hidden="1"/>
    <col min="257" max="257" width="32.6640625" style="425" hidden="1" customWidth="1"/>
    <col min="258" max="259" width="12.109375" style="425" hidden="1" customWidth="1"/>
    <col min="260" max="260" width="12.88671875" style="425" hidden="1" customWidth="1"/>
    <col min="261" max="266" width="12.109375" style="425" hidden="1" customWidth="1"/>
    <col min="267" max="277" width="8.88671875" style="425" hidden="1" customWidth="1"/>
    <col min="278" max="512" width="8.88671875" style="425" hidden="1"/>
    <col min="513" max="513" width="32.6640625" style="425" hidden="1" customWidth="1"/>
    <col min="514" max="515" width="12.109375" style="425" hidden="1" customWidth="1"/>
    <col min="516" max="516" width="12.88671875" style="425" hidden="1" customWidth="1"/>
    <col min="517" max="522" width="12.109375" style="425" hidden="1" customWidth="1"/>
    <col min="523" max="533" width="8.88671875" style="425" hidden="1" customWidth="1"/>
    <col min="534" max="768" width="8.88671875" style="425" hidden="1"/>
    <col min="769" max="769" width="32.6640625" style="425" hidden="1" customWidth="1"/>
    <col min="770" max="771" width="12.109375" style="425" hidden="1" customWidth="1"/>
    <col min="772" max="772" width="12.88671875" style="425" hidden="1" customWidth="1"/>
    <col min="773" max="778" width="12.109375" style="425" hidden="1" customWidth="1"/>
    <col min="779" max="789" width="8.88671875" style="425" hidden="1" customWidth="1"/>
    <col min="790" max="1024" width="8.88671875" style="425" hidden="1"/>
    <col min="1025" max="1025" width="32.6640625" style="425" hidden="1" customWidth="1"/>
    <col min="1026" max="1027" width="12.109375" style="425" hidden="1" customWidth="1"/>
    <col min="1028" max="1028" width="12.88671875" style="425" hidden="1" customWidth="1"/>
    <col min="1029" max="1034" width="12.109375" style="425" hidden="1" customWidth="1"/>
    <col min="1035" max="1045" width="8.88671875" style="425" hidden="1" customWidth="1"/>
    <col min="1046" max="1280" width="8.88671875" style="425" hidden="1"/>
    <col min="1281" max="1281" width="32.6640625" style="425" hidden="1" customWidth="1"/>
    <col min="1282" max="1283" width="12.109375" style="425" hidden="1" customWidth="1"/>
    <col min="1284" max="1284" width="12.88671875" style="425" hidden="1" customWidth="1"/>
    <col min="1285" max="1290" width="12.109375" style="425" hidden="1" customWidth="1"/>
    <col min="1291" max="1301" width="8.88671875" style="425" hidden="1" customWidth="1"/>
    <col min="1302" max="1536" width="8.88671875" style="425" hidden="1"/>
    <col min="1537" max="1537" width="32.6640625" style="425" hidden="1" customWidth="1"/>
    <col min="1538" max="1539" width="12.109375" style="425" hidden="1" customWidth="1"/>
    <col min="1540" max="1540" width="12.88671875" style="425" hidden="1" customWidth="1"/>
    <col min="1541" max="1546" width="12.109375" style="425" hidden="1" customWidth="1"/>
    <col min="1547" max="1557" width="8.88671875" style="425" hidden="1" customWidth="1"/>
    <col min="1558" max="1792" width="8.88671875" style="425" hidden="1"/>
    <col min="1793" max="1793" width="32.6640625" style="425" hidden="1" customWidth="1"/>
    <col min="1794" max="1795" width="12.109375" style="425" hidden="1" customWidth="1"/>
    <col min="1796" max="1796" width="12.88671875" style="425" hidden="1" customWidth="1"/>
    <col min="1797" max="1802" width="12.109375" style="425" hidden="1" customWidth="1"/>
    <col min="1803" max="1813" width="8.88671875" style="425" hidden="1" customWidth="1"/>
    <col min="1814" max="2048" width="8.88671875" style="425" hidden="1"/>
    <col min="2049" max="2049" width="32.6640625" style="425" hidden="1" customWidth="1"/>
    <col min="2050" max="2051" width="12.109375" style="425" hidden="1" customWidth="1"/>
    <col min="2052" max="2052" width="12.88671875" style="425" hidden="1" customWidth="1"/>
    <col min="2053" max="2058" width="12.109375" style="425" hidden="1" customWidth="1"/>
    <col min="2059" max="2069" width="8.88671875" style="425" hidden="1" customWidth="1"/>
    <col min="2070" max="2304" width="8.88671875" style="425" hidden="1"/>
    <col min="2305" max="2305" width="32.6640625" style="425" hidden="1" customWidth="1"/>
    <col min="2306" max="2307" width="12.109375" style="425" hidden="1" customWidth="1"/>
    <col min="2308" max="2308" width="12.88671875" style="425" hidden="1" customWidth="1"/>
    <col min="2309" max="2314" width="12.109375" style="425" hidden="1" customWidth="1"/>
    <col min="2315" max="2325" width="8.88671875" style="425" hidden="1" customWidth="1"/>
    <col min="2326" max="2560" width="8.88671875" style="425" hidden="1"/>
    <col min="2561" max="2561" width="32.6640625" style="425" hidden="1" customWidth="1"/>
    <col min="2562" max="2563" width="12.109375" style="425" hidden="1" customWidth="1"/>
    <col min="2564" max="2564" width="12.88671875" style="425" hidden="1" customWidth="1"/>
    <col min="2565" max="2570" width="12.109375" style="425" hidden="1" customWidth="1"/>
    <col min="2571" max="2581" width="8.88671875" style="425" hidden="1" customWidth="1"/>
    <col min="2582" max="2816" width="8.88671875" style="425" hidden="1"/>
    <col min="2817" max="2817" width="32.6640625" style="425" hidden="1" customWidth="1"/>
    <col min="2818" max="2819" width="12.109375" style="425" hidden="1" customWidth="1"/>
    <col min="2820" max="2820" width="12.88671875" style="425" hidden="1" customWidth="1"/>
    <col min="2821" max="2826" width="12.109375" style="425" hidden="1" customWidth="1"/>
    <col min="2827" max="2837" width="8.88671875" style="425" hidden="1" customWidth="1"/>
    <col min="2838" max="3072" width="8.88671875" style="425" hidden="1"/>
    <col min="3073" max="3073" width="32.6640625" style="425" hidden="1" customWidth="1"/>
    <col min="3074" max="3075" width="12.109375" style="425" hidden="1" customWidth="1"/>
    <col min="3076" max="3076" width="12.88671875" style="425" hidden="1" customWidth="1"/>
    <col min="3077" max="3082" width="12.109375" style="425" hidden="1" customWidth="1"/>
    <col min="3083" max="3093" width="8.88671875" style="425" hidden="1" customWidth="1"/>
    <col min="3094" max="3328" width="8.88671875" style="425" hidden="1"/>
    <col min="3329" max="3329" width="32.6640625" style="425" hidden="1" customWidth="1"/>
    <col min="3330" max="3331" width="12.109375" style="425" hidden="1" customWidth="1"/>
    <col min="3332" max="3332" width="12.88671875" style="425" hidden="1" customWidth="1"/>
    <col min="3333" max="3338" width="12.109375" style="425" hidden="1" customWidth="1"/>
    <col min="3339" max="3349" width="8.88671875" style="425" hidden="1" customWidth="1"/>
    <col min="3350" max="3584" width="8.88671875" style="425" hidden="1"/>
    <col min="3585" max="3585" width="32.6640625" style="425" hidden="1" customWidth="1"/>
    <col min="3586" max="3587" width="12.109375" style="425" hidden="1" customWidth="1"/>
    <col min="3588" max="3588" width="12.88671875" style="425" hidden="1" customWidth="1"/>
    <col min="3589" max="3594" width="12.109375" style="425" hidden="1" customWidth="1"/>
    <col min="3595" max="3605" width="8.88671875" style="425" hidden="1" customWidth="1"/>
    <col min="3606" max="3840" width="8.88671875" style="425" hidden="1"/>
    <col min="3841" max="3841" width="32.6640625" style="425" hidden="1" customWidth="1"/>
    <col min="3842" max="3843" width="12.109375" style="425" hidden="1" customWidth="1"/>
    <col min="3844" max="3844" width="12.88671875" style="425" hidden="1" customWidth="1"/>
    <col min="3845" max="3850" width="12.109375" style="425" hidden="1" customWidth="1"/>
    <col min="3851" max="3861" width="8.88671875" style="425" hidden="1" customWidth="1"/>
    <col min="3862" max="4096" width="8.88671875" style="425" hidden="1"/>
    <col min="4097" max="4097" width="32.6640625" style="425" hidden="1" customWidth="1"/>
    <col min="4098" max="4099" width="12.109375" style="425" hidden="1" customWidth="1"/>
    <col min="4100" max="4100" width="12.88671875" style="425" hidden="1" customWidth="1"/>
    <col min="4101" max="4106" width="12.109375" style="425" hidden="1" customWidth="1"/>
    <col min="4107" max="4117" width="8.88671875" style="425" hidden="1" customWidth="1"/>
    <col min="4118" max="4352" width="8.88671875" style="425" hidden="1"/>
    <col min="4353" max="4353" width="32.6640625" style="425" hidden="1" customWidth="1"/>
    <col min="4354" max="4355" width="12.109375" style="425" hidden="1" customWidth="1"/>
    <col min="4356" max="4356" width="12.88671875" style="425" hidden="1" customWidth="1"/>
    <col min="4357" max="4362" width="12.109375" style="425" hidden="1" customWidth="1"/>
    <col min="4363" max="4373" width="8.88671875" style="425" hidden="1" customWidth="1"/>
    <col min="4374" max="4608" width="8.88671875" style="425" hidden="1"/>
    <col min="4609" max="4609" width="32.6640625" style="425" hidden="1" customWidth="1"/>
    <col min="4610" max="4611" width="12.109375" style="425" hidden="1" customWidth="1"/>
    <col min="4612" max="4612" width="12.88671875" style="425" hidden="1" customWidth="1"/>
    <col min="4613" max="4618" width="12.109375" style="425" hidden="1" customWidth="1"/>
    <col min="4619" max="4629" width="8.88671875" style="425" hidden="1" customWidth="1"/>
    <col min="4630" max="4864" width="8.88671875" style="425" hidden="1"/>
    <col min="4865" max="4865" width="32.6640625" style="425" hidden="1" customWidth="1"/>
    <col min="4866" max="4867" width="12.109375" style="425" hidden="1" customWidth="1"/>
    <col min="4868" max="4868" width="12.88671875" style="425" hidden="1" customWidth="1"/>
    <col min="4869" max="4874" width="12.109375" style="425" hidden="1" customWidth="1"/>
    <col min="4875" max="4885" width="8.88671875" style="425" hidden="1" customWidth="1"/>
    <col min="4886" max="5120" width="8.88671875" style="425" hidden="1"/>
    <col min="5121" max="5121" width="32.6640625" style="425" hidden="1" customWidth="1"/>
    <col min="5122" max="5123" width="12.109375" style="425" hidden="1" customWidth="1"/>
    <col min="5124" max="5124" width="12.88671875" style="425" hidden="1" customWidth="1"/>
    <col min="5125" max="5130" width="12.109375" style="425" hidden="1" customWidth="1"/>
    <col min="5131" max="5141" width="8.88671875" style="425" hidden="1" customWidth="1"/>
    <col min="5142" max="5376" width="8.88671875" style="425" hidden="1"/>
    <col min="5377" max="5377" width="32.6640625" style="425" hidden="1" customWidth="1"/>
    <col min="5378" max="5379" width="12.109375" style="425" hidden="1" customWidth="1"/>
    <col min="5380" max="5380" width="12.88671875" style="425" hidden="1" customWidth="1"/>
    <col min="5381" max="5386" width="12.109375" style="425" hidden="1" customWidth="1"/>
    <col min="5387" max="5397" width="8.88671875" style="425" hidden="1" customWidth="1"/>
    <col min="5398" max="5632" width="8.88671875" style="425" hidden="1"/>
    <col min="5633" max="5633" width="32.6640625" style="425" hidden="1" customWidth="1"/>
    <col min="5634" max="5635" width="12.109375" style="425" hidden="1" customWidth="1"/>
    <col min="5636" max="5636" width="12.88671875" style="425" hidden="1" customWidth="1"/>
    <col min="5637" max="5642" width="12.109375" style="425" hidden="1" customWidth="1"/>
    <col min="5643" max="5653" width="8.88671875" style="425" hidden="1" customWidth="1"/>
    <col min="5654" max="5888" width="8.88671875" style="425" hidden="1"/>
    <col min="5889" max="5889" width="32.6640625" style="425" hidden="1" customWidth="1"/>
    <col min="5890" max="5891" width="12.109375" style="425" hidden="1" customWidth="1"/>
    <col min="5892" max="5892" width="12.88671875" style="425" hidden="1" customWidth="1"/>
    <col min="5893" max="5898" width="12.109375" style="425" hidden="1" customWidth="1"/>
    <col min="5899" max="5909" width="8.88671875" style="425" hidden="1" customWidth="1"/>
    <col min="5910" max="6144" width="8.88671875" style="425" hidden="1"/>
    <col min="6145" max="6145" width="32.6640625" style="425" hidden="1" customWidth="1"/>
    <col min="6146" max="6147" width="12.109375" style="425" hidden="1" customWidth="1"/>
    <col min="6148" max="6148" width="12.88671875" style="425" hidden="1" customWidth="1"/>
    <col min="6149" max="6154" width="12.109375" style="425" hidden="1" customWidth="1"/>
    <col min="6155" max="6165" width="8.88671875" style="425" hidden="1" customWidth="1"/>
    <col min="6166" max="6400" width="8.88671875" style="425" hidden="1"/>
    <col min="6401" max="6401" width="32.6640625" style="425" hidden="1" customWidth="1"/>
    <col min="6402" max="6403" width="12.109375" style="425" hidden="1" customWidth="1"/>
    <col min="6404" max="6404" width="12.88671875" style="425" hidden="1" customWidth="1"/>
    <col min="6405" max="6410" width="12.109375" style="425" hidden="1" customWidth="1"/>
    <col min="6411" max="6421" width="8.88671875" style="425" hidden="1" customWidth="1"/>
    <col min="6422" max="6656" width="8.88671875" style="425" hidden="1"/>
    <col min="6657" max="6657" width="32.6640625" style="425" hidden="1" customWidth="1"/>
    <col min="6658" max="6659" width="12.109375" style="425" hidden="1" customWidth="1"/>
    <col min="6660" max="6660" width="12.88671875" style="425" hidden="1" customWidth="1"/>
    <col min="6661" max="6666" width="12.109375" style="425" hidden="1" customWidth="1"/>
    <col min="6667" max="6677" width="8.88671875" style="425" hidden="1" customWidth="1"/>
    <col min="6678" max="6912" width="8.88671875" style="425" hidden="1"/>
    <col min="6913" max="6913" width="32.6640625" style="425" hidden="1" customWidth="1"/>
    <col min="6914" max="6915" width="12.109375" style="425" hidden="1" customWidth="1"/>
    <col min="6916" max="6916" width="12.88671875" style="425" hidden="1" customWidth="1"/>
    <col min="6917" max="6922" width="12.109375" style="425" hidden="1" customWidth="1"/>
    <col min="6923" max="6933" width="8.88671875" style="425" hidden="1" customWidth="1"/>
    <col min="6934" max="7168" width="8.88671875" style="425" hidden="1"/>
    <col min="7169" max="7169" width="32.6640625" style="425" hidden="1" customWidth="1"/>
    <col min="7170" max="7171" width="12.109375" style="425" hidden="1" customWidth="1"/>
    <col min="7172" max="7172" width="12.88671875" style="425" hidden="1" customWidth="1"/>
    <col min="7173" max="7178" width="12.109375" style="425" hidden="1" customWidth="1"/>
    <col min="7179" max="7189" width="8.88671875" style="425" hidden="1" customWidth="1"/>
    <col min="7190" max="7424" width="8.88671875" style="425" hidden="1"/>
    <col min="7425" max="7425" width="32.6640625" style="425" hidden="1" customWidth="1"/>
    <col min="7426" max="7427" width="12.109375" style="425" hidden="1" customWidth="1"/>
    <col min="7428" max="7428" width="12.88671875" style="425" hidden="1" customWidth="1"/>
    <col min="7429" max="7434" width="12.109375" style="425" hidden="1" customWidth="1"/>
    <col min="7435" max="7445" width="8.88671875" style="425" hidden="1" customWidth="1"/>
    <col min="7446" max="7680" width="8.88671875" style="425" hidden="1"/>
    <col min="7681" max="7681" width="32.6640625" style="425" hidden="1" customWidth="1"/>
    <col min="7682" max="7683" width="12.109375" style="425" hidden="1" customWidth="1"/>
    <col min="7684" max="7684" width="12.88671875" style="425" hidden="1" customWidth="1"/>
    <col min="7685" max="7690" width="12.109375" style="425" hidden="1" customWidth="1"/>
    <col min="7691" max="7701" width="8.88671875" style="425" hidden="1" customWidth="1"/>
    <col min="7702" max="7936" width="8.88671875" style="425" hidden="1"/>
    <col min="7937" max="7937" width="32.6640625" style="425" hidden="1" customWidth="1"/>
    <col min="7938" max="7939" width="12.109375" style="425" hidden="1" customWidth="1"/>
    <col min="7940" max="7940" width="12.88671875" style="425" hidden="1" customWidth="1"/>
    <col min="7941" max="7946" width="12.109375" style="425" hidden="1" customWidth="1"/>
    <col min="7947" max="7957" width="8.88671875" style="425" hidden="1" customWidth="1"/>
    <col min="7958" max="8192" width="8.88671875" style="425" hidden="1"/>
    <col min="8193" max="8193" width="32.6640625" style="425" hidden="1" customWidth="1"/>
    <col min="8194" max="8195" width="12.109375" style="425" hidden="1" customWidth="1"/>
    <col min="8196" max="8196" width="12.88671875" style="425" hidden="1" customWidth="1"/>
    <col min="8197" max="8202" width="12.109375" style="425" hidden="1" customWidth="1"/>
    <col min="8203" max="8213" width="8.88671875" style="425" hidden="1" customWidth="1"/>
    <col min="8214" max="8448" width="8.88671875" style="425" hidden="1"/>
    <col min="8449" max="8449" width="32.6640625" style="425" hidden="1" customWidth="1"/>
    <col min="8450" max="8451" width="12.109375" style="425" hidden="1" customWidth="1"/>
    <col min="8452" max="8452" width="12.88671875" style="425" hidden="1" customWidth="1"/>
    <col min="8453" max="8458" width="12.109375" style="425" hidden="1" customWidth="1"/>
    <col min="8459" max="8469" width="8.88671875" style="425" hidden="1" customWidth="1"/>
    <col min="8470" max="8704" width="8.88671875" style="425" hidden="1"/>
    <col min="8705" max="8705" width="32.6640625" style="425" hidden="1" customWidth="1"/>
    <col min="8706" max="8707" width="12.109375" style="425" hidden="1" customWidth="1"/>
    <col min="8708" max="8708" width="12.88671875" style="425" hidden="1" customWidth="1"/>
    <col min="8709" max="8714" width="12.109375" style="425" hidden="1" customWidth="1"/>
    <col min="8715" max="8725" width="8.88671875" style="425" hidden="1" customWidth="1"/>
    <col min="8726" max="8960" width="8.88671875" style="425" hidden="1"/>
    <col min="8961" max="8961" width="32.6640625" style="425" hidden="1" customWidth="1"/>
    <col min="8962" max="8963" width="12.109375" style="425" hidden="1" customWidth="1"/>
    <col min="8964" max="8964" width="12.88671875" style="425" hidden="1" customWidth="1"/>
    <col min="8965" max="8970" width="12.109375" style="425" hidden="1" customWidth="1"/>
    <col min="8971" max="8981" width="8.88671875" style="425" hidden="1" customWidth="1"/>
    <col min="8982" max="9216" width="8.88671875" style="425" hidden="1"/>
    <col min="9217" max="9217" width="32.6640625" style="425" hidden="1" customWidth="1"/>
    <col min="9218" max="9219" width="12.109375" style="425" hidden="1" customWidth="1"/>
    <col min="9220" max="9220" width="12.88671875" style="425" hidden="1" customWidth="1"/>
    <col min="9221" max="9226" width="12.109375" style="425" hidden="1" customWidth="1"/>
    <col min="9227" max="9237" width="8.88671875" style="425" hidden="1" customWidth="1"/>
    <col min="9238" max="9472" width="8.88671875" style="425" hidden="1"/>
    <col min="9473" max="9473" width="32.6640625" style="425" hidden="1" customWidth="1"/>
    <col min="9474" max="9475" width="12.109375" style="425" hidden="1" customWidth="1"/>
    <col min="9476" max="9476" width="12.88671875" style="425" hidden="1" customWidth="1"/>
    <col min="9477" max="9482" width="12.109375" style="425" hidden="1" customWidth="1"/>
    <col min="9483" max="9493" width="8.88671875" style="425" hidden="1" customWidth="1"/>
    <col min="9494" max="9728" width="8.88671875" style="425" hidden="1"/>
    <col min="9729" max="9729" width="32.6640625" style="425" hidden="1" customWidth="1"/>
    <col min="9730" max="9731" width="12.109375" style="425" hidden="1" customWidth="1"/>
    <col min="9732" max="9732" width="12.88671875" style="425" hidden="1" customWidth="1"/>
    <col min="9733" max="9738" width="12.109375" style="425" hidden="1" customWidth="1"/>
    <col min="9739" max="9749" width="8.88671875" style="425" hidden="1" customWidth="1"/>
    <col min="9750" max="9984" width="8.88671875" style="425" hidden="1"/>
    <col min="9985" max="9985" width="32.6640625" style="425" hidden="1" customWidth="1"/>
    <col min="9986" max="9987" width="12.109375" style="425" hidden="1" customWidth="1"/>
    <col min="9988" max="9988" width="12.88671875" style="425" hidden="1" customWidth="1"/>
    <col min="9989" max="9994" width="12.109375" style="425" hidden="1" customWidth="1"/>
    <col min="9995" max="10005" width="8.88671875" style="425" hidden="1" customWidth="1"/>
    <col min="10006" max="10240" width="8.88671875" style="425" hidden="1"/>
    <col min="10241" max="10241" width="32.6640625" style="425" hidden="1" customWidth="1"/>
    <col min="10242" max="10243" width="12.109375" style="425" hidden="1" customWidth="1"/>
    <col min="10244" max="10244" width="12.88671875" style="425" hidden="1" customWidth="1"/>
    <col min="10245" max="10250" width="12.109375" style="425" hidden="1" customWidth="1"/>
    <col min="10251" max="10261" width="8.88671875" style="425" hidden="1" customWidth="1"/>
    <col min="10262" max="10496" width="8.88671875" style="425" hidden="1"/>
    <col min="10497" max="10497" width="32.6640625" style="425" hidden="1" customWidth="1"/>
    <col min="10498" max="10499" width="12.109375" style="425" hidden="1" customWidth="1"/>
    <col min="10500" max="10500" width="12.88671875" style="425" hidden="1" customWidth="1"/>
    <col min="10501" max="10506" width="12.109375" style="425" hidden="1" customWidth="1"/>
    <col min="10507" max="10517" width="8.88671875" style="425" hidden="1" customWidth="1"/>
    <col min="10518" max="10752" width="8.88671875" style="425" hidden="1"/>
    <col min="10753" max="10753" width="32.6640625" style="425" hidden="1" customWidth="1"/>
    <col min="10754" max="10755" width="12.109375" style="425" hidden="1" customWidth="1"/>
    <col min="10756" max="10756" width="12.88671875" style="425" hidden="1" customWidth="1"/>
    <col min="10757" max="10762" width="12.109375" style="425" hidden="1" customWidth="1"/>
    <col min="10763" max="10773" width="8.88671875" style="425" hidden="1" customWidth="1"/>
    <col min="10774" max="11008" width="8.88671875" style="425" hidden="1"/>
    <col min="11009" max="11009" width="32.6640625" style="425" hidden="1" customWidth="1"/>
    <col min="11010" max="11011" width="12.109375" style="425" hidden="1" customWidth="1"/>
    <col min="11012" max="11012" width="12.88671875" style="425" hidden="1" customWidth="1"/>
    <col min="11013" max="11018" width="12.109375" style="425" hidden="1" customWidth="1"/>
    <col min="11019" max="11029" width="8.88671875" style="425" hidden="1" customWidth="1"/>
    <col min="11030" max="11264" width="8.88671875" style="425" hidden="1"/>
    <col min="11265" max="11265" width="32.6640625" style="425" hidden="1" customWidth="1"/>
    <col min="11266" max="11267" width="12.109375" style="425" hidden="1" customWidth="1"/>
    <col min="11268" max="11268" width="12.88671875" style="425" hidden="1" customWidth="1"/>
    <col min="11269" max="11274" width="12.109375" style="425" hidden="1" customWidth="1"/>
    <col min="11275" max="11285" width="8.88671875" style="425" hidden="1" customWidth="1"/>
    <col min="11286" max="11520" width="8.88671875" style="425" hidden="1"/>
    <col min="11521" max="11521" width="32.6640625" style="425" hidden="1" customWidth="1"/>
    <col min="11522" max="11523" width="12.109375" style="425" hidden="1" customWidth="1"/>
    <col min="11524" max="11524" width="12.88671875" style="425" hidden="1" customWidth="1"/>
    <col min="11525" max="11530" width="12.109375" style="425" hidden="1" customWidth="1"/>
    <col min="11531" max="11541" width="8.88671875" style="425" hidden="1" customWidth="1"/>
    <col min="11542" max="11776" width="8.88671875" style="425" hidden="1"/>
    <col min="11777" max="11777" width="32.6640625" style="425" hidden="1" customWidth="1"/>
    <col min="11778" max="11779" width="12.109375" style="425" hidden="1" customWidth="1"/>
    <col min="11780" max="11780" width="12.88671875" style="425" hidden="1" customWidth="1"/>
    <col min="11781" max="11786" width="12.109375" style="425" hidden="1" customWidth="1"/>
    <col min="11787" max="11797" width="8.88671875" style="425" hidden="1" customWidth="1"/>
    <col min="11798" max="12032" width="8.88671875" style="425" hidden="1"/>
    <col min="12033" max="12033" width="32.6640625" style="425" hidden="1" customWidth="1"/>
    <col min="12034" max="12035" width="12.109375" style="425" hidden="1" customWidth="1"/>
    <col min="12036" max="12036" width="12.88671875" style="425" hidden="1" customWidth="1"/>
    <col min="12037" max="12042" width="12.109375" style="425" hidden="1" customWidth="1"/>
    <col min="12043" max="12053" width="8.88671875" style="425" hidden="1" customWidth="1"/>
    <col min="12054" max="12288" width="8.88671875" style="425" hidden="1"/>
    <col min="12289" max="12289" width="32.6640625" style="425" hidden="1" customWidth="1"/>
    <col min="12290" max="12291" width="12.109375" style="425" hidden="1" customWidth="1"/>
    <col min="12292" max="12292" width="12.88671875" style="425" hidden="1" customWidth="1"/>
    <col min="12293" max="12298" width="12.109375" style="425" hidden="1" customWidth="1"/>
    <col min="12299" max="12309" width="8.88671875" style="425" hidden="1" customWidth="1"/>
    <col min="12310" max="12544" width="8.88671875" style="425" hidden="1"/>
    <col min="12545" max="12545" width="32.6640625" style="425" hidden="1" customWidth="1"/>
    <col min="12546" max="12547" width="12.109375" style="425" hidden="1" customWidth="1"/>
    <col min="12548" max="12548" width="12.88671875" style="425" hidden="1" customWidth="1"/>
    <col min="12549" max="12554" width="12.109375" style="425" hidden="1" customWidth="1"/>
    <col min="12555" max="12565" width="8.88671875" style="425" hidden="1" customWidth="1"/>
    <col min="12566" max="12800" width="8.88671875" style="425" hidden="1"/>
    <col min="12801" max="12801" width="32.6640625" style="425" hidden="1" customWidth="1"/>
    <col min="12802" max="12803" width="12.109375" style="425" hidden="1" customWidth="1"/>
    <col min="12804" max="12804" width="12.88671875" style="425" hidden="1" customWidth="1"/>
    <col min="12805" max="12810" width="12.109375" style="425" hidden="1" customWidth="1"/>
    <col min="12811" max="12821" width="8.88671875" style="425" hidden="1" customWidth="1"/>
    <col min="12822" max="13056" width="8.88671875" style="425" hidden="1"/>
    <col min="13057" max="13057" width="32.6640625" style="425" hidden="1" customWidth="1"/>
    <col min="13058" max="13059" width="12.109375" style="425" hidden="1" customWidth="1"/>
    <col min="13060" max="13060" width="12.88671875" style="425" hidden="1" customWidth="1"/>
    <col min="13061" max="13066" width="12.109375" style="425" hidden="1" customWidth="1"/>
    <col min="13067" max="13077" width="8.88671875" style="425" hidden="1" customWidth="1"/>
    <col min="13078" max="13312" width="8.88671875" style="425" hidden="1"/>
    <col min="13313" max="13313" width="32.6640625" style="425" hidden="1" customWidth="1"/>
    <col min="13314" max="13315" width="12.109375" style="425" hidden="1" customWidth="1"/>
    <col min="13316" max="13316" width="12.88671875" style="425" hidden="1" customWidth="1"/>
    <col min="13317" max="13322" width="12.109375" style="425" hidden="1" customWidth="1"/>
    <col min="13323" max="13333" width="8.88671875" style="425" hidden="1" customWidth="1"/>
    <col min="13334" max="13568" width="8.88671875" style="425" hidden="1"/>
    <col min="13569" max="13569" width="32.6640625" style="425" hidden="1" customWidth="1"/>
    <col min="13570" max="13571" width="12.109375" style="425" hidden="1" customWidth="1"/>
    <col min="13572" max="13572" width="12.88671875" style="425" hidden="1" customWidth="1"/>
    <col min="13573" max="13578" width="12.109375" style="425" hidden="1" customWidth="1"/>
    <col min="13579" max="13589" width="8.88671875" style="425" hidden="1" customWidth="1"/>
    <col min="13590" max="13824" width="8.88671875" style="425" hidden="1"/>
    <col min="13825" max="13825" width="32.6640625" style="425" hidden="1" customWidth="1"/>
    <col min="13826" max="13827" width="12.109375" style="425" hidden="1" customWidth="1"/>
    <col min="13828" max="13828" width="12.88671875" style="425" hidden="1" customWidth="1"/>
    <col min="13829" max="13834" width="12.109375" style="425" hidden="1" customWidth="1"/>
    <col min="13835" max="13845" width="8.88671875" style="425" hidden="1" customWidth="1"/>
    <col min="13846" max="14080" width="8.88671875" style="425" hidden="1"/>
    <col min="14081" max="14081" width="32.6640625" style="425" hidden="1" customWidth="1"/>
    <col min="14082" max="14083" width="12.109375" style="425" hidden="1" customWidth="1"/>
    <col min="14084" max="14084" width="12.88671875" style="425" hidden="1" customWidth="1"/>
    <col min="14085" max="14090" width="12.109375" style="425" hidden="1" customWidth="1"/>
    <col min="14091" max="14101" width="8.88671875" style="425" hidden="1" customWidth="1"/>
    <col min="14102" max="14336" width="8.88671875" style="425" hidden="1"/>
    <col min="14337" max="14337" width="32.6640625" style="425" hidden="1" customWidth="1"/>
    <col min="14338" max="14339" width="12.109375" style="425" hidden="1" customWidth="1"/>
    <col min="14340" max="14340" width="12.88671875" style="425" hidden="1" customWidth="1"/>
    <col min="14341" max="14346" width="12.109375" style="425" hidden="1" customWidth="1"/>
    <col min="14347" max="14357" width="8.88671875" style="425" hidden="1" customWidth="1"/>
    <col min="14358" max="14592" width="8.88671875" style="425" hidden="1"/>
    <col min="14593" max="14593" width="32.6640625" style="425" hidden="1" customWidth="1"/>
    <col min="14594" max="14595" width="12.109375" style="425" hidden="1" customWidth="1"/>
    <col min="14596" max="14596" width="12.88671875" style="425" hidden="1" customWidth="1"/>
    <col min="14597" max="14602" width="12.109375" style="425" hidden="1" customWidth="1"/>
    <col min="14603" max="14613" width="8.88671875" style="425" hidden="1" customWidth="1"/>
    <col min="14614" max="14848" width="8.88671875" style="425" hidden="1"/>
    <col min="14849" max="14849" width="32.6640625" style="425" hidden="1" customWidth="1"/>
    <col min="14850" max="14851" width="12.109375" style="425" hidden="1" customWidth="1"/>
    <col min="14852" max="14852" width="12.88671875" style="425" hidden="1" customWidth="1"/>
    <col min="14853" max="14858" width="12.109375" style="425" hidden="1" customWidth="1"/>
    <col min="14859" max="14869" width="8.88671875" style="425" hidden="1" customWidth="1"/>
    <col min="14870" max="15104" width="8.88671875" style="425" hidden="1"/>
    <col min="15105" max="15105" width="32.6640625" style="425" hidden="1" customWidth="1"/>
    <col min="15106" max="15107" width="12.109375" style="425" hidden="1" customWidth="1"/>
    <col min="15108" max="15108" width="12.88671875" style="425" hidden="1" customWidth="1"/>
    <col min="15109" max="15114" width="12.109375" style="425" hidden="1" customWidth="1"/>
    <col min="15115" max="15125" width="8.88671875" style="425" hidden="1" customWidth="1"/>
    <col min="15126" max="15360" width="8.88671875" style="425" hidden="1"/>
    <col min="15361" max="15361" width="32.6640625" style="425" hidden="1" customWidth="1"/>
    <col min="15362" max="15363" width="12.109375" style="425" hidden="1" customWidth="1"/>
    <col min="15364" max="15364" width="12.88671875" style="425" hidden="1" customWidth="1"/>
    <col min="15365" max="15370" width="12.109375" style="425" hidden="1" customWidth="1"/>
    <col min="15371" max="15381" width="8.88671875" style="425" hidden="1" customWidth="1"/>
    <col min="15382" max="15616" width="8.88671875" style="425" hidden="1"/>
    <col min="15617" max="15617" width="32.6640625" style="425" hidden="1" customWidth="1"/>
    <col min="15618" max="15619" width="12.109375" style="425" hidden="1" customWidth="1"/>
    <col min="15620" max="15620" width="12.88671875" style="425" hidden="1" customWidth="1"/>
    <col min="15621" max="15626" width="12.109375" style="425" hidden="1" customWidth="1"/>
    <col min="15627" max="15637" width="8.88671875" style="425" hidden="1" customWidth="1"/>
    <col min="15638" max="15872" width="8.88671875" style="425" hidden="1"/>
    <col min="15873" max="15873" width="32.6640625" style="425" hidden="1" customWidth="1"/>
    <col min="15874" max="15875" width="12.109375" style="425" hidden="1" customWidth="1"/>
    <col min="15876" max="15876" width="12.88671875" style="425" hidden="1" customWidth="1"/>
    <col min="15877" max="15882" width="12.109375" style="425" hidden="1" customWidth="1"/>
    <col min="15883" max="15893" width="8.88671875" style="425" hidden="1" customWidth="1"/>
    <col min="15894" max="16128" width="8.88671875" style="425" hidden="1"/>
    <col min="16129" max="16129" width="32.6640625" style="425" hidden="1" customWidth="1"/>
    <col min="16130" max="16131" width="12.109375" style="425" hidden="1" customWidth="1"/>
    <col min="16132" max="16132" width="12.88671875" style="425" hidden="1" customWidth="1"/>
    <col min="16133" max="16138" width="12.109375" style="425" hidden="1" customWidth="1"/>
    <col min="16139" max="16149" width="8.88671875" style="425" hidden="1" customWidth="1"/>
    <col min="16150" max="16384" width="8.88671875" style="425" hidden="1"/>
  </cols>
  <sheetData>
    <row r="1" spans="1:11" s="388" customFormat="1" ht="13.2">
      <c r="A1" s="1865" t="s">
        <v>1373</v>
      </c>
      <c r="B1" s="1866"/>
      <c r="C1" s="1866"/>
      <c r="D1" s="1866"/>
      <c r="E1" s="1866"/>
      <c r="F1" s="1866"/>
      <c r="G1" s="1866"/>
      <c r="H1" s="1866"/>
      <c r="I1" s="1866"/>
      <c r="J1" s="1867"/>
      <c r="K1" s="387"/>
    </row>
    <row r="2" spans="1:11" s="433" customFormat="1" ht="72">
      <c r="A2" s="430"/>
      <c r="B2" s="431" t="s">
        <v>1087</v>
      </c>
      <c r="C2" s="431" t="s">
        <v>1375</v>
      </c>
      <c r="D2" s="431" t="s">
        <v>1376</v>
      </c>
      <c r="E2" s="431" t="s">
        <v>1298</v>
      </c>
      <c r="F2" s="431" t="s">
        <v>1377</v>
      </c>
      <c r="G2" s="431" t="s">
        <v>1378</v>
      </c>
      <c r="H2" s="431" t="s">
        <v>1088</v>
      </c>
      <c r="I2" s="431" t="s">
        <v>1379</v>
      </c>
      <c r="J2" s="431" t="s">
        <v>1380</v>
      </c>
      <c r="K2" s="432"/>
    </row>
    <row r="3" spans="1:11" s="392" customFormat="1" ht="11.4">
      <c r="A3" s="389" t="s">
        <v>26</v>
      </c>
      <c r="B3" s="390"/>
      <c r="C3" s="390"/>
      <c r="D3" s="390"/>
      <c r="E3" s="390"/>
      <c r="F3" s="390"/>
      <c r="G3" s="390"/>
      <c r="H3" s="390"/>
      <c r="I3" s="390"/>
      <c r="J3" s="390"/>
      <c r="K3" s="391"/>
    </row>
    <row r="4" spans="1:11" s="392" customFormat="1" ht="11.4">
      <c r="A4" s="396" t="s">
        <v>27</v>
      </c>
      <c r="B4" s="393">
        <f>'Sources and Uses Budget'!C4</f>
        <v>1000000</v>
      </c>
      <c r="C4" s="394"/>
      <c r="D4" s="394"/>
      <c r="E4" s="395"/>
      <c r="F4" s="395"/>
      <c r="G4" s="395"/>
      <c r="H4" s="395"/>
      <c r="I4" s="395"/>
      <c r="J4" s="395"/>
      <c r="K4" s="391"/>
    </row>
    <row r="5" spans="1:11" s="392" customFormat="1" ht="11.4">
      <c r="A5" s="396" t="s">
        <v>28</v>
      </c>
      <c r="B5" s="393">
        <f>'Sources and Uses Budget'!C5</f>
        <v>0</v>
      </c>
      <c r="C5" s="394"/>
      <c r="D5" s="394"/>
      <c r="E5" s="395"/>
      <c r="F5" s="395"/>
      <c r="G5" s="395"/>
      <c r="H5" s="395"/>
      <c r="I5" s="395"/>
      <c r="J5" s="395"/>
      <c r="K5" s="391"/>
    </row>
    <row r="6" spans="1:11" s="392" customFormat="1" ht="11.4">
      <c r="A6" s="396" t="s">
        <v>29</v>
      </c>
      <c r="B6" s="393">
        <f>'Sources and Uses Budget'!C6</f>
        <v>0</v>
      </c>
      <c r="C6" s="394"/>
      <c r="D6" s="394"/>
      <c r="E6" s="395"/>
      <c r="F6" s="395"/>
      <c r="G6" s="395"/>
      <c r="H6" s="395"/>
      <c r="I6" s="395"/>
      <c r="J6" s="395"/>
      <c r="K6" s="391"/>
    </row>
    <row r="7" spans="1:11" s="392" customFormat="1" ht="11.4">
      <c r="A7" s="396" t="s">
        <v>98</v>
      </c>
      <c r="B7" s="393">
        <f>'Sources and Uses Budget'!C7</f>
        <v>0</v>
      </c>
      <c r="C7" s="394"/>
      <c r="D7" s="394"/>
      <c r="E7" s="395"/>
      <c r="F7" s="395"/>
      <c r="G7" s="395"/>
      <c r="H7" s="395"/>
      <c r="I7" s="395"/>
      <c r="J7" s="395"/>
      <c r="K7" s="391"/>
    </row>
    <row r="8" spans="1:11" s="392" customFormat="1">
      <c r="A8" s="397" t="s">
        <v>603</v>
      </c>
      <c r="B8" s="393">
        <f>'Sources and Uses Budget'!C8</f>
        <v>1000000</v>
      </c>
      <c r="C8" s="393">
        <f>SUM(C4:C7)</f>
        <v>0</v>
      </c>
      <c r="D8" s="393">
        <f>SUM(D4:D7)</f>
        <v>0</v>
      </c>
      <c r="E8" s="395"/>
      <c r="F8" s="395"/>
      <c r="G8" s="395"/>
      <c r="H8" s="395"/>
      <c r="I8" s="395"/>
      <c r="J8" s="395"/>
      <c r="K8" s="391"/>
    </row>
    <row r="9" spans="1:11" s="392" customFormat="1" ht="11.4">
      <c r="A9" s="396" t="s">
        <v>604</v>
      </c>
      <c r="B9" s="393">
        <f>'Sources and Uses Budget'!C9</f>
        <v>0</v>
      </c>
      <c r="C9" s="394"/>
      <c r="D9" s="394"/>
      <c r="E9" s="395"/>
      <c r="F9" s="395"/>
      <c r="G9" s="395"/>
      <c r="H9" s="393">
        <f>'Sources and Uses Budget'!T9</f>
        <v>0</v>
      </c>
      <c r="I9" s="394"/>
      <c r="J9" s="394"/>
      <c r="K9" s="391"/>
    </row>
    <row r="10" spans="1:11" s="392" customFormat="1" ht="11.4">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1000000</v>
      </c>
      <c r="C12" s="393">
        <f>SUM(C8+C11)</f>
        <v>0</v>
      </c>
      <c r="D12" s="393">
        <f>SUM(D8+D11)</f>
        <v>0</v>
      </c>
      <c r="E12" s="395"/>
      <c r="F12" s="395"/>
      <c r="G12" s="395"/>
      <c r="H12" s="395"/>
      <c r="I12" s="395"/>
      <c r="J12" s="395"/>
      <c r="K12" s="391"/>
    </row>
    <row r="13" spans="1:11" s="392" customFormat="1" ht="11.4">
      <c r="A13" s="398" t="s">
        <v>935</v>
      </c>
      <c r="B13" s="393">
        <f>'Sources and Uses Budget'!C13</f>
        <v>0</v>
      </c>
      <c r="C13" s="394"/>
      <c r="D13" s="394"/>
      <c r="E13" s="393">
        <f>'Sources and Uses Budget'!S13</f>
        <v>0</v>
      </c>
      <c r="F13" s="394"/>
      <c r="G13" s="394"/>
      <c r="H13" s="393">
        <f>'Sources and Uses Budget'!T13</f>
        <v>0</v>
      </c>
      <c r="I13" s="394"/>
      <c r="J13" s="394"/>
      <c r="K13" s="391"/>
    </row>
    <row r="14" spans="1:11" s="392" customFormat="1" ht="22.8">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ht="11.4">
      <c r="A15" s="396" t="s">
        <v>1302</v>
      </c>
      <c r="B15" s="393">
        <f>'Sources and Uses Budget'!C15</f>
        <v>0</v>
      </c>
      <c r="C15" s="394"/>
      <c r="D15" s="394"/>
      <c r="E15" s="395">
        <f>'Sources and Uses Budget'!S15</f>
        <v>0</v>
      </c>
      <c r="F15" s="395"/>
      <c r="G15" s="395"/>
      <c r="H15" s="395">
        <f>'Sources and Uses Budget'!T15</f>
        <v>0</v>
      </c>
      <c r="I15" s="395"/>
      <c r="J15" s="395"/>
      <c r="K15" s="391"/>
    </row>
    <row r="16" spans="1:11" s="392" customFormat="1" ht="11.4">
      <c r="A16" s="389" t="s">
        <v>607</v>
      </c>
      <c r="B16" s="390"/>
      <c r="C16" s="390"/>
      <c r="D16" s="390"/>
      <c r="E16" s="390"/>
      <c r="F16" s="390"/>
      <c r="G16" s="390"/>
      <c r="H16" s="390"/>
      <c r="I16" s="390"/>
      <c r="J16" s="390"/>
      <c r="K16" s="391"/>
    </row>
    <row r="17" spans="1:11" s="392" customFormat="1" ht="11.4">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ht="11.4">
      <c r="A18" s="396" t="s">
        <v>609</v>
      </c>
      <c r="B18" s="393">
        <f>'Sources and Uses Budget'!C18</f>
        <v>0</v>
      </c>
      <c r="C18" s="394"/>
      <c r="D18" s="394"/>
      <c r="E18" s="393">
        <f>'Sources and Uses Budget'!S18</f>
        <v>0</v>
      </c>
      <c r="F18" s="394"/>
      <c r="G18" s="394"/>
      <c r="H18" s="393">
        <f>'Sources and Uses Budget'!T18</f>
        <v>0</v>
      </c>
      <c r="I18" s="394"/>
      <c r="J18" s="394"/>
      <c r="K18" s="391"/>
    </row>
    <row r="19" spans="1:11" s="392" customFormat="1" ht="11.4">
      <c r="A19" s="396" t="s">
        <v>610</v>
      </c>
      <c r="B19" s="393">
        <f>'Sources and Uses Budget'!C19</f>
        <v>0</v>
      </c>
      <c r="C19" s="394"/>
      <c r="D19" s="394"/>
      <c r="E19" s="393">
        <f>'Sources and Uses Budget'!S19</f>
        <v>0</v>
      </c>
      <c r="F19" s="394"/>
      <c r="G19" s="394"/>
      <c r="H19" s="393">
        <f>'Sources and Uses Budget'!T19</f>
        <v>0</v>
      </c>
      <c r="I19" s="394"/>
      <c r="J19" s="394"/>
      <c r="K19" s="391"/>
    </row>
    <row r="20" spans="1:11" s="392" customFormat="1" ht="11.4">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ht="11.4">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ht="11.4">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ht="11.4">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ht="11.4">
      <c r="A24" s="543" t="s">
        <v>1819</v>
      </c>
      <c r="B24" s="393">
        <f>'Sources and Uses Budget'!C24</f>
        <v>0</v>
      </c>
      <c r="C24" s="394"/>
      <c r="D24" s="394"/>
      <c r="E24" s="393">
        <f>'Sources and Uses Budget'!S24</f>
        <v>0</v>
      </c>
      <c r="F24" s="394"/>
      <c r="G24" s="394"/>
      <c r="H24" s="393">
        <f>'Sources and Uses Budget'!T24</f>
        <v>0</v>
      </c>
      <c r="I24" s="394"/>
      <c r="J24" s="394"/>
      <c r="K24" s="391"/>
    </row>
    <row r="25" spans="1:11" s="392" customFormat="1" ht="11.4">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ht="11.4">
      <c r="A28" s="389" t="s">
        <v>143</v>
      </c>
      <c r="B28" s="390"/>
      <c r="C28" s="390"/>
      <c r="D28" s="390"/>
      <c r="E28" s="390"/>
      <c r="F28" s="390"/>
      <c r="G28" s="390"/>
      <c r="H28" s="390"/>
      <c r="I28" s="390"/>
      <c r="J28" s="390"/>
      <c r="K28" s="391"/>
    </row>
    <row r="29" spans="1:11" s="392" customFormat="1" ht="11.4">
      <c r="A29" s="145" t="s">
        <v>608</v>
      </c>
      <c r="B29" s="393">
        <f>'Sources and Uses Budget'!C29</f>
        <v>2000000</v>
      </c>
      <c r="C29" s="394"/>
      <c r="D29" s="394"/>
      <c r="E29" s="393">
        <f>'Sources and Uses Budget'!S29</f>
        <v>2000000</v>
      </c>
      <c r="F29" s="394"/>
      <c r="G29" s="394"/>
      <c r="H29" s="393">
        <f>'Sources and Uses Budget'!T29</f>
        <v>0</v>
      </c>
      <c r="I29" s="394"/>
      <c r="J29" s="394"/>
      <c r="K29" s="391"/>
    </row>
    <row r="30" spans="1:11" s="392" customFormat="1" ht="11.4">
      <c r="A30" s="145" t="s">
        <v>609</v>
      </c>
      <c r="B30" s="393">
        <f>'Sources and Uses Budget'!C30</f>
        <v>40865269</v>
      </c>
      <c r="C30" s="394"/>
      <c r="D30" s="394"/>
      <c r="E30" s="393">
        <f>'Sources and Uses Budget'!S30</f>
        <v>40865269</v>
      </c>
      <c r="F30" s="394"/>
      <c r="G30" s="394"/>
      <c r="H30" s="393">
        <f>'Sources and Uses Budget'!T30</f>
        <v>0</v>
      </c>
      <c r="I30" s="394"/>
      <c r="J30" s="394"/>
      <c r="K30" s="391"/>
    </row>
    <row r="31" spans="1:11" s="392" customFormat="1" ht="11.4">
      <c r="A31" s="145" t="s">
        <v>610</v>
      </c>
      <c r="B31" s="393">
        <f>'Sources and Uses Budget'!C31</f>
        <v>2571916</v>
      </c>
      <c r="C31" s="394"/>
      <c r="D31" s="394"/>
      <c r="E31" s="393">
        <f>'Sources and Uses Budget'!S31</f>
        <v>2571916</v>
      </c>
      <c r="F31" s="394"/>
      <c r="G31" s="394"/>
      <c r="H31" s="393">
        <f>'Sources and Uses Budget'!T31</f>
        <v>0</v>
      </c>
      <c r="I31" s="394"/>
      <c r="J31" s="394"/>
      <c r="K31" s="391"/>
    </row>
    <row r="32" spans="1:11" s="392" customFormat="1" ht="11.4">
      <c r="A32" s="145" t="s">
        <v>138</v>
      </c>
      <c r="B32" s="393">
        <f>'Sources and Uses Budget'!C32</f>
        <v>857305</v>
      </c>
      <c r="C32" s="394"/>
      <c r="D32" s="394"/>
      <c r="E32" s="393">
        <f>'Sources and Uses Budget'!S32</f>
        <v>857305</v>
      </c>
      <c r="F32" s="394"/>
      <c r="G32" s="394"/>
      <c r="H32" s="393">
        <f>'Sources and Uses Budget'!T32</f>
        <v>0</v>
      </c>
      <c r="I32" s="394"/>
      <c r="J32" s="394"/>
      <c r="K32" s="391"/>
    </row>
    <row r="33" spans="1:11" s="392" customFormat="1" ht="11.4">
      <c r="A33" s="145" t="s">
        <v>139</v>
      </c>
      <c r="B33" s="393">
        <f>'Sources and Uses Budget'!C33</f>
        <v>2571916</v>
      </c>
      <c r="C33" s="394"/>
      <c r="D33" s="394"/>
      <c r="E33" s="393">
        <f>'Sources and Uses Budget'!S33</f>
        <v>2571916</v>
      </c>
      <c r="F33" s="394"/>
      <c r="G33" s="394"/>
      <c r="H33" s="393">
        <f>'Sources and Uses Budget'!T33</f>
        <v>0</v>
      </c>
      <c r="I33" s="394"/>
      <c r="J33" s="394"/>
      <c r="K33" s="391"/>
    </row>
    <row r="34" spans="1:11" s="392" customFormat="1" ht="11.4">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ht="11.4">
      <c r="A35" s="145" t="s">
        <v>141</v>
      </c>
      <c r="B35" s="393">
        <f>'Sources and Uses Budget'!C35</f>
        <v>2000000</v>
      </c>
      <c r="C35" s="394"/>
      <c r="D35" s="394"/>
      <c r="E35" s="393">
        <f>'Sources and Uses Budget'!S35</f>
        <v>2000000</v>
      </c>
      <c r="F35" s="394"/>
      <c r="G35" s="394"/>
      <c r="H35" s="393">
        <f>'Sources and Uses Budget'!T35</f>
        <v>0</v>
      </c>
      <c r="I35" s="394"/>
      <c r="J35" s="394"/>
      <c r="K35" s="391"/>
    </row>
    <row r="36" spans="1:11" s="392" customFormat="1" ht="11.4">
      <c r="A36" s="543" t="s">
        <v>1819</v>
      </c>
      <c r="B36" s="393">
        <f>'Sources and Uses Budget'!C36</f>
        <v>0</v>
      </c>
      <c r="C36" s="394"/>
      <c r="D36" s="394"/>
      <c r="E36" s="393">
        <f>'Sources and Uses Budget'!S36</f>
        <v>0</v>
      </c>
      <c r="F36" s="394"/>
      <c r="G36" s="394"/>
      <c r="H36" s="393">
        <f>'Sources and Uses Budget'!T36</f>
        <v>0</v>
      </c>
      <c r="I36" s="394"/>
      <c r="J36" s="394"/>
      <c r="K36" s="391"/>
    </row>
    <row r="37" spans="1:11" s="392" customFormat="1" ht="11.4">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50866406</v>
      </c>
      <c r="C38" s="393">
        <f>SUM(C29:C37)</f>
        <v>0</v>
      </c>
      <c r="D38" s="393">
        <f>SUM(D29:D37)</f>
        <v>0</v>
      </c>
      <c r="E38" s="393">
        <f>'Sources and Uses Budget'!S38</f>
        <v>50866406</v>
      </c>
      <c r="F38" s="399">
        <f>SUM(F29:F37)</f>
        <v>0</v>
      </c>
      <c r="G38" s="399">
        <f>SUM(G29:G37)</f>
        <v>0</v>
      </c>
      <c r="H38" s="393">
        <f>'Sources and Uses Budget'!T38</f>
        <v>0</v>
      </c>
      <c r="I38" s="399">
        <f>SUM(I29:I37)</f>
        <v>0</v>
      </c>
      <c r="J38" s="399">
        <f>SUM(J29:J37)</f>
        <v>0</v>
      </c>
      <c r="K38" s="391"/>
    </row>
    <row r="39" spans="1:11" s="392" customFormat="1" ht="11.4">
      <c r="A39" s="389" t="s">
        <v>145</v>
      </c>
      <c r="B39" s="390"/>
      <c r="C39" s="390"/>
      <c r="D39" s="390"/>
      <c r="E39" s="390"/>
      <c r="F39" s="390"/>
      <c r="G39" s="390"/>
      <c r="H39" s="390"/>
      <c r="I39" s="390"/>
      <c r="J39" s="390"/>
      <c r="K39" s="391"/>
    </row>
    <row r="40" spans="1:11" s="392" customFormat="1" ht="11.4">
      <c r="A40" s="396" t="s">
        <v>146</v>
      </c>
      <c r="B40" s="393">
        <f>'Sources and Uses Budget'!C40</f>
        <v>1000000</v>
      </c>
      <c r="C40" s="394"/>
      <c r="D40" s="394"/>
      <c r="E40" s="393">
        <f>'Sources and Uses Budget'!S40</f>
        <v>1000000</v>
      </c>
      <c r="F40" s="394"/>
      <c r="G40" s="394"/>
      <c r="H40" s="393">
        <f>'Sources and Uses Budget'!T40</f>
        <v>0</v>
      </c>
      <c r="I40" s="394"/>
      <c r="J40" s="394"/>
      <c r="K40" s="391"/>
    </row>
    <row r="41" spans="1:11" s="392" customFormat="1" ht="11.4">
      <c r="A41" s="396" t="s">
        <v>147</v>
      </c>
      <c r="B41" s="393">
        <f>'Sources and Uses Budget'!C41</f>
        <v>0</v>
      </c>
      <c r="C41" s="394"/>
      <c r="D41" s="394"/>
      <c r="E41" s="393">
        <f>'Sources and Uses Budget'!S41</f>
        <v>0</v>
      </c>
      <c r="F41" s="394"/>
      <c r="G41" s="394"/>
      <c r="H41" s="393">
        <f>'Sources and Uses Budget'!T41</f>
        <v>0</v>
      </c>
      <c r="I41" s="394"/>
      <c r="J41" s="394"/>
      <c r="K41" s="391"/>
    </row>
    <row r="42" spans="1:11" s="392" customFormat="1">
      <c r="A42" s="397" t="s">
        <v>148</v>
      </c>
      <c r="B42" s="393">
        <f>'Sources and Uses Budget'!C42</f>
        <v>1000000</v>
      </c>
      <c r="C42" s="393">
        <f>SUM(C39:C41)</f>
        <v>0</v>
      </c>
      <c r="D42" s="393">
        <f>SUM(D39:D41)</f>
        <v>0</v>
      </c>
      <c r="E42" s="393">
        <f>'Sources and Uses Budget'!S42</f>
        <v>1000000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700000</v>
      </c>
      <c r="C43" s="394"/>
      <c r="D43" s="394"/>
      <c r="E43" s="393">
        <f>'Sources and Uses Budget'!S43</f>
        <v>700000</v>
      </c>
      <c r="F43" s="394"/>
      <c r="G43" s="394"/>
      <c r="H43" s="393">
        <f>'Sources and Uses Budget'!T43</f>
        <v>0</v>
      </c>
      <c r="I43" s="394"/>
      <c r="J43" s="394"/>
      <c r="K43" s="391"/>
    </row>
    <row r="44" spans="1:11" s="392" customFormat="1" ht="11.4">
      <c r="A44" s="389" t="s">
        <v>150</v>
      </c>
      <c r="B44" s="390"/>
      <c r="C44" s="390"/>
      <c r="D44" s="390"/>
      <c r="E44" s="390"/>
      <c r="F44" s="390"/>
      <c r="G44" s="390"/>
      <c r="H44" s="390"/>
      <c r="I44" s="390"/>
      <c r="J44" s="390"/>
      <c r="K44" s="391"/>
    </row>
    <row r="45" spans="1:11" s="392" customFormat="1" ht="11.4">
      <c r="A45" s="396" t="s">
        <v>151</v>
      </c>
      <c r="B45" s="393">
        <f>'Sources and Uses Budget'!C45</f>
        <v>8084500</v>
      </c>
      <c r="C45" s="394"/>
      <c r="D45" s="394"/>
      <c r="E45" s="393">
        <f>'Sources and Uses Budget'!S45</f>
        <v>4000000</v>
      </c>
      <c r="F45" s="394"/>
      <c r="G45" s="394"/>
      <c r="H45" s="393">
        <f>'Sources and Uses Budget'!T45</f>
        <v>0</v>
      </c>
      <c r="I45" s="394"/>
      <c r="J45" s="394"/>
      <c r="K45" s="391"/>
    </row>
    <row r="46" spans="1:11" s="392" customFormat="1" ht="11.4">
      <c r="A46" s="396" t="s">
        <v>152</v>
      </c>
      <c r="B46" s="393">
        <f>'Sources and Uses Budget'!C46</f>
        <v>512000</v>
      </c>
      <c r="C46" s="394"/>
      <c r="D46" s="394"/>
      <c r="E46" s="393">
        <f>'Sources and Uses Budget'!S46</f>
        <v>0</v>
      </c>
      <c r="F46" s="394"/>
      <c r="G46" s="394"/>
      <c r="H46" s="393">
        <f>'Sources and Uses Budget'!T46</f>
        <v>0</v>
      </c>
      <c r="I46" s="394"/>
      <c r="J46" s="394"/>
      <c r="K46" s="391"/>
    </row>
    <row r="47" spans="1:11" s="392" customFormat="1" ht="12" customHeight="1">
      <c r="A47" s="396" t="s">
        <v>153</v>
      </c>
      <c r="B47" s="393">
        <f>'Sources and Uses Budget'!C47</f>
        <v>88600</v>
      </c>
      <c r="C47" s="394"/>
      <c r="D47" s="394"/>
      <c r="E47" s="393">
        <f>'Sources and Uses Budget'!S47</f>
        <v>0</v>
      </c>
      <c r="F47" s="394"/>
      <c r="G47" s="394"/>
      <c r="H47" s="393">
        <f>'Sources and Uses Budget'!T47</f>
        <v>0</v>
      </c>
      <c r="I47" s="394"/>
      <c r="J47" s="394"/>
      <c r="K47" s="391"/>
    </row>
    <row r="48" spans="1:11" s="392" customFormat="1" ht="11.4">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ht="11.4">
      <c r="A49" s="304" t="s">
        <v>57</v>
      </c>
      <c r="B49" s="393">
        <f>'Sources and Uses Budget'!C49</f>
        <v>24000</v>
      </c>
      <c r="C49" s="394"/>
      <c r="D49" s="394"/>
      <c r="E49" s="393">
        <f>'Sources and Uses Budget'!S49</f>
        <v>24000</v>
      </c>
      <c r="F49" s="394"/>
      <c r="G49" s="394"/>
      <c r="H49" s="393">
        <f>'Sources and Uses Budget'!T49</f>
        <v>0</v>
      </c>
      <c r="I49" s="394"/>
      <c r="J49" s="394"/>
      <c r="K49" s="391"/>
    </row>
    <row r="50" spans="1:11" s="392" customFormat="1" ht="11.4">
      <c r="A50" s="396" t="s">
        <v>157</v>
      </c>
      <c r="B50" s="393">
        <f>'Sources and Uses Budget'!C50</f>
        <v>100000</v>
      </c>
      <c r="C50" s="394"/>
      <c r="D50" s="394"/>
      <c r="E50" s="393">
        <f>'Sources and Uses Budget'!S50</f>
        <v>100000</v>
      </c>
      <c r="F50" s="394"/>
      <c r="G50" s="394"/>
      <c r="H50" s="393">
        <f>'Sources and Uses Budget'!T50</f>
        <v>0</v>
      </c>
      <c r="I50" s="394"/>
      <c r="J50" s="394"/>
      <c r="K50" s="391"/>
    </row>
    <row r="51" spans="1:11" s="392" customFormat="1" ht="11.4">
      <c r="A51" s="396" t="s">
        <v>155</v>
      </c>
      <c r="B51" s="393">
        <f>'Sources and Uses Budget'!C51</f>
        <v>100000</v>
      </c>
      <c r="C51" s="394"/>
      <c r="D51" s="394"/>
      <c r="E51" s="393">
        <f>'Sources and Uses Budget'!S51</f>
        <v>100000</v>
      </c>
      <c r="F51" s="394"/>
      <c r="G51" s="394"/>
      <c r="H51" s="393">
        <f>'Sources and Uses Budget'!T51</f>
        <v>0</v>
      </c>
      <c r="I51" s="394"/>
      <c r="J51" s="394"/>
      <c r="K51" s="391"/>
    </row>
    <row r="52" spans="1:11" s="392" customFormat="1" ht="11.4">
      <c r="A52" s="396" t="s">
        <v>156</v>
      </c>
      <c r="B52" s="393">
        <f>'Sources and Uses Budget'!C52</f>
        <v>0</v>
      </c>
      <c r="C52" s="394"/>
      <c r="D52" s="394"/>
      <c r="E52" s="393">
        <f>'Sources and Uses Budget'!S52</f>
        <v>0</v>
      </c>
      <c r="F52" s="394"/>
      <c r="G52" s="394"/>
      <c r="H52" s="393">
        <f>'Sources and Uses Budget'!T52</f>
        <v>0</v>
      </c>
      <c r="I52" s="394"/>
      <c r="J52" s="394"/>
      <c r="K52" s="391"/>
    </row>
    <row r="53" spans="1:11" s="392" customFormat="1" ht="11.4">
      <c r="A53" s="396" t="str">
        <f>'Sources and Uses Budget'!$A53</f>
        <v>Other: (Specify)</v>
      </c>
      <c r="B53" s="393">
        <f>'Sources and Uses Budget'!C53</f>
        <v>0</v>
      </c>
      <c r="C53" s="394"/>
      <c r="D53" s="394"/>
      <c r="E53" s="393">
        <f>'Sources and Uses Budget'!S53</f>
        <v>0</v>
      </c>
      <c r="F53" s="394"/>
      <c r="G53" s="394"/>
      <c r="H53" s="393">
        <f>'Sources and Uses Budget'!T53</f>
        <v>0</v>
      </c>
      <c r="I53" s="394"/>
      <c r="J53" s="394"/>
      <c r="K53" s="391"/>
    </row>
    <row r="54" spans="1:11" s="401" customFormat="1">
      <c r="A54" s="397" t="s">
        <v>158</v>
      </c>
      <c r="B54" s="393">
        <f>'Sources and Uses Budget'!C54</f>
        <v>8909100</v>
      </c>
      <c r="C54" s="399">
        <f>SUM(C45:C53)</f>
        <v>0</v>
      </c>
      <c r="D54" s="399">
        <f>SUM(D45:D53)</f>
        <v>0</v>
      </c>
      <c r="E54" s="393">
        <f>'Sources and Uses Budget'!S54</f>
        <v>4224000</v>
      </c>
      <c r="F54" s="399">
        <f>SUM(F45:F53)</f>
        <v>0</v>
      </c>
      <c r="G54" s="399">
        <f>SUM(G45:G53)</f>
        <v>0</v>
      </c>
      <c r="H54" s="393">
        <f>'Sources and Uses Budget'!T54</f>
        <v>0</v>
      </c>
      <c r="I54" s="399">
        <f>SUM(I45:I53)</f>
        <v>0</v>
      </c>
      <c r="J54" s="399">
        <f>SUM(J45:J53)</f>
        <v>0</v>
      </c>
      <c r="K54" s="400"/>
    </row>
    <row r="55" spans="1:11" s="392" customFormat="1" ht="11.4">
      <c r="A55" s="389" t="s">
        <v>420</v>
      </c>
      <c r="B55" s="390"/>
      <c r="C55" s="390"/>
      <c r="D55" s="390"/>
      <c r="E55" s="390"/>
      <c r="F55" s="390"/>
      <c r="G55" s="390"/>
      <c r="H55" s="390"/>
      <c r="I55" s="390"/>
      <c r="J55" s="390"/>
      <c r="K55" s="391"/>
    </row>
    <row r="56" spans="1:11" s="392" customFormat="1" ht="11.4">
      <c r="A56" s="396" t="s">
        <v>159</v>
      </c>
      <c r="B56" s="393">
        <f>'Sources and Uses Budget'!C56</f>
        <v>43802</v>
      </c>
      <c r="C56" s="394"/>
      <c r="D56" s="394"/>
      <c r="E56" s="395"/>
      <c r="F56" s="395"/>
      <c r="G56" s="395"/>
      <c r="H56" s="395"/>
      <c r="I56" s="395"/>
      <c r="J56" s="395"/>
      <c r="K56" s="391"/>
    </row>
    <row r="57" spans="1:11" s="392" customFormat="1" ht="12" customHeight="1">
      <c r="A57" s="396" t="s">
        <v>153</v>
      </c>
      <c r="B57" s="393">
        <f>'Sources and Uses Budget'!C57</f>
        <v>86024</v>
      </c>
      <c r="C57" s="394"/>
      <c r="D57" s="394"/>
      <c r="E57" s="395"/>
      <c r="F57" s="395"/>
      <c r="G57" s="395"/>
      <c r="H57" s="395"/>
      <c r="I57" s="395"/>
      <c r="J57" s="395"/>
      <c r="K57" s="391"/>
    </row>
    <row r="58" spans="1:11" s="392" customFormat="1" ht="11.4">
      <c r="A58" s="396" t="s">
        <v>157</v>
      </c>
      <c r="B58" s="393">
        <f>'Sources and Uses Budget'!C58</f>
        <v>0</v>
      </c>
      <c r="C58" s="394"/>
      <c r="D58" s="394"/>
      <c r="E58" s="395"/>
      <c r="F58" s="395"/>
      <c r="G58" s="395"/>
      <c r="H58" s="395"/>
      <c r="I58" s="395"/>
      <c r="J58" s="395"/>
      <c r="K58" s="391"/>
    </row>
    <row r="59" spans="1:11" s="392" customFormat="1" ht="11.4">
      <c r="A59" s="396" t="s">
        <v>155</v>
      </c>
      <c r="B59" s="393">
        <f>'Sources and Uses Budget'!C59</f>
        <v>0</v>
      </c>
      <c r="C59" s="394"/>
      <c r="D59" s="394"/>
      <c r="E59" s="395"/>
      <c r="F59" s="395"/>
      <c r="G59" s="395"/>
      <c r="H59" s="395"/>
      <c r="I59" s="395"/>
      <c r="J59" s="395"/>
      <c r="K59" s="391"/>
    </row>
    <row r="60" spans="1:11" s="392" customFormat="1" ht="11.4">
      <c r="A60" s="396" t="s">
        <v>156</v>
      </c>
      <c r="B60" s="393">
        <f>'Sources and Uses Budget'!C60</f>
        <v>0</v>
      </c>
      <c r="C60" s="394"/>
      <c r="D60" s="394"/>
      <c r="E60" s="395"/>
      <c r="F60" s="395"/>
      <c r="G60" s="395"/>
      <c r="H60" s="395"/>
      <c r="I60" s="395"/>
      <c r="J60" s="395"/>
      <c r="K60" s="391"/>
    </row>
    <row r="61" spans="1:11" s="392" customFormat="1" ht="11.4">
      <c r="A61" s="396" t="str">
        <f>'Sources and Uses Budget'!$A61</f>
        <v>Other: Bond Counsel</v>
      </c>
      <c r="B61" s="393">
        <f>'Sources and Uses Budget'!C61</f>
        <v>50000</v>
      </c>
      <c r="C61" s="394"/>
      <c r="D61" s="394"/>
      <c r="E61" s="395"/>
      <c r="F61" s="395"/>
      <c r="G61" s="395"/>
      <c r="H61" s="395"/>
      <c r="I61" s="395"/>
      <c r="J61" s="395"/>
      <c r="K61" s="391"/>
    </row>
    <row r="62" spans="1:11" s="392" customFormat="1" ht="13.65" customHeight="1">
      <c r="A62" s="397" t="s">
        <v>303</v>
      </c>
      <c r="B62" s="393">
        <f>'Sources and Uses Budget'!C62</f>
        <v>179826</v>
      </c>
      <c r="C62" s="393">
        <f>SUM(C56:C61)</f>
        <v>0</v>
      </c>
      <c r="D62" s="393">
        <f>SUM(D56:D61)</f>
        <v>0</v>
      </c>
      <c r="E62" s="395"/>
      <c r="F62" s="395"/>
      <c r="G62" s="395"/>
      <c r="H62" s="395"/>
      <c r="I62" s="395"/>
      <c r="J62" s="395"/>
      <c r="K62" s="391"/>
    </row>
    <row r="63" spans="1:11" s="392" customFormat="1" ht="11.4">
      <c r="A63" s="402" t="s">
        <v>304</v>
      </c>
      <c r="B63" s="393">
        <f>'Sources and Uses Budget'!C63</f>
        <v>62655332</v>
      </c>
      <c r="C63" s="393">
        <f>SUM(C8+C11+C13+C14+C15+C26+C27+C38+C42+C43+C54+C62)</f>
        <v>0</v>
      </c>
      <c r="D63" s="393">
        <f>SUM(D8+D11+D13+D14+D15+D26+D27+D38+D42+D43+D54+D62)</f>
        <v>0</v>
      </c>
      <c r="E63" s="393">
        <f>'Sources and Uses Budget'!S63</f>
        <v>56790406</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2.8">
      <c r="A64" s="141" t="s">
        <v>1823</v>
      </c>
      <c r="B64" s="390"/>
      <c r="C64" s="390"/>
      <c r="D64" s="390"/>
      <c r="E64" s="390"/>
      <c r="F64" s="390"/>
      <c r="G64" s="390"/>
      <c r="H64" s="390"/>
      <c r="I64" s="390"/>
      <c r="J64" s="390"/>
      <c r="K64" s="391"/>
    </row>
    <row r="65" spans="1:11" s="392" customFormat="1" ht="11.4">
      <c r="A65" s="145" t="s">
        <v>172</v>
      </c>
      <c r="B65" s="393">
        <f>'Sources and Uses Budget'!C65</f>
        <v>60000</v>
      </c>
      <c r="C65" s="394"/>
      <c r="D65" s="394"/>
      <c r="E65" s="393">
        <f>'Sources and Uses Budget'!S65</f>
        <v>0</v>
      </c>
      <c r="F65" s="394"/>
      <c r="G65" s="394"/>
      <c r="H65" s="393">
        <f>'Sources and Uses Budget'!T65</f>
        <v>0</v>
      </c>
      <c r="I65" s="394"/>
      <c r="J65" s="394"/>
      <c r="K65" s="391"/>
    </row>
    <row r="66" spans="1:11" s="392" customFormat="1" ht="22.8">
      <c r="A66" s="304" t="s">
        <v>1820</v>
      </c>
      <c r="B66" s="393">
        <f>'Sources and Uses Budget'!C66</f>
        <v>129500</v>
      </c>
      <c r="C66" s="394"/>
      <c r="D66" s="394"/>
      <c r="E66" s="393">
        <f>'Sources and Uses Budget'!S66</f>
        <v>80000</v>
      </c>
      <c r="F66" s="394"/>
      <c r="G66" s="394"/>
      <c r="H66" s="393">
        <f>'Sources and Uses Budget'!T66</f>
        <v>0</v>
      </c>
      <c r="I66" s="394"/>
      <c r="J66" s="394"/>
      <c r="K66" s="391"/>
    </row>
    <row r="67" spans="1:11" s="392" customFormat="1" ht="22.8">
      <c r="A67" s="304" t="s">
        <v>1821</v>
      </c>
      <c r="B67" s="393">
        <f>'Sources and Uses Budget'!C67</f>
        <v>0</v>
      </c>
      <c r="C67" s="394"/>
      <c r="D67" s="394"/>
      <c r="E67" s="393">
        <f>'Sources and Uses Budget'!S67</f>
        <v>0</v>
      </c>
      <c r="F67" s="394"/>
      <c r="G67" s="394"/>
      <c r="H67" s="393">
        <f>'Sources and Uses Budget'!T67</f>
        <v>0</v>
      </c>
      <c r="I67" s="394"/>
      <c r="J67" s="394"/>
      <c r="K67" s="391"/>
    </row>
    <row r="68" spans="1:11" s="392" customFormat="1" ht="11.4">
      <c r="A68" s="304" t="s">
        <v>1827</v>
      </c>
      <c r="B68" s="393">
        <f>'Sources and Uses Budget'!C68</f>
        <v>0</v>
      </c>
      <c r="C68" s="394"/>
      <c r="D68" s="394"/>
      <c r="E68" s="393">
        <f>'Sources and Uses Budget'!S68</f>
        <v>0</v>
      </c>
      <c r="F68" s="394"/>
      <c r="G68" s="394"/>
      <c r="H68" s="393">
        <f>'Sources and Uses Budget'!T68</f>
        <v>0</v>
      </c>
      <c r="I68" s="394"/>
      <c r="J68" s="394"/>
      <c r="K68" s="391"/>
    </row>
    <row r="69" spans="1:11" s="392" customFormat="1" ht="11.4">
      <c r="A69" s="396" t="str">
        <f>'Sources and Uses Budget'!$A69</f>
        <v>Other: (Specify)</v>
      </c>
      <c r="B69" s="393">
        <f>'Sources and Uses Budget'!C69</f>
        <v>0</v>
      </c>
      <c r="C69" s="394"/>
      <c r="D69" s="394"/>
      <c r="E69" s="393">
        <f>'Sources and Uses Budget'!S69</f>
        <v>0</v>
      </c>
      <c r="F69" s="394"/>
      <c r="G69" s="394"/>
      <c r="H69" s="393">
        <f>'Sources and Uses Budget'!T69</f>
        <v>0</v>
      </c>
      <c r="I69" s="394"/>
      <c r="J69" s="394"/>
      <c r="K69" s="391"/>
    </row>
    <row r="70" spans="1:11" s="392" customFormat="1">
      <c r="A70" s="397" t="s">
        <v>611</v>
      </c>
      <c r="B70" s="393">
        <f>'Sources and Uses Budget'!C70</f>
        <v>189500</v>
      </c>
      <c r="C70" s="393">
        <f>SUM(C64:C69)</f>
        <v>0</v>
      </c>
      <c r="D70" s="393">
        <f>SUM(D64:D69)</f>
        <v>0</v>
      </c>
      <c r="E70" s="393">
        <f>'Sources and Uses Budget'!S70</f>
        <v>80000</v>
      </c>
      <c r="F70" s="399">
        <f>SUM(F65:F69)</f>
        <v>0</v>
      </c>
      <c r="G70" s="399">
        <f>SUM(G65:G69)</f>
        <v>0</v>
      </c>
      <c r="H70" s="393">
        <f>'Sources and Uses Budget'!T70</f>
        <v>0</v>
      </c>
      <c r="I70" s="399">
        <f>SUM(I65:I69)</f>
        <v>0</v>
      </c>
      <c r="J70" s="399">
        <f>SUM(J65:J69)</f>
        <v>0</v>
      </c>
      <c r="K70" s="391"/>
    </row>
    <row r="71" spans="1:11" s="392" customFormat="1" ht="11.4">
      <c r="A71" s="389" t="s">
        <v>612</v>
      </c>
      <c r="B71" s="390"/>
      <c r="C71" s="390"/>
      <c r="D71" s="390"/>
      <c r="E71" s="390"/>
      <c r="F71" s="390"/>
      <c r="G71" s="390"/>
      <c r="H71" s="390"/>
      <c r="I71" s="390"/>
      <c r="J71" s="390"/>
      <c r="K71" s="391"/>
    </row>
    <row r="72" spans="1:11" s="392" customFormat="1" ht="11.4">
      <c r="A72" s="396" t="s">
        <v>613</v>
      </c>
      <c r="B72" s="393">
        <f>'Sources and Uses Budget'!C72</f>
        <v>0</v>
      </c>
      <c r="C72" s="394"/>
      <c r="D72" s="394"/>
      <c r="E72" s="395"/>
      <c r="F72" s="395"/>
      <c r="G72" s="395"/>
      <c r="H72" s="395"/>
      <c r="I72" s="395"/>
      <c r="J72" s="395"/>
      <c r="K72" s="391"/>
    </row>
    <row r="73" spans="1:11" s="392" customFormat="1" ht="11.4">
      <c r="A73" s="396" t="s">
        <v>614</v>
      </c>
      <c r="B73" s="393">
        <f>'Sources and Uses Budget'!C73</f>
        <v>0</v>
      </c>
      <c r="C73" s="394"/>
      <c r="D73" s="394"/>
      <c r="E73" s="395"/>
      <c r="F73" s="395"/>
      <c r="G73" s="395"/>
      <c r="H73" s="395"/>
      <c r="I73" s="395"/>
      <c r="J73" s="395"/>
      <c r="K73" s="391"/>
    </row>
    <row r="74" spans="1:11" s="392" customFormat="1" ht="11.4">
      <c r="A74" s="398" t="s">
        <v>1039</v>
      </c>
      <c r="B74" s="393">
        <f>'Sources and Uses Budget'!C74</f>
        <v>0</v>
      </c>
      <c r="C74" s="394"/>
      <c r="D74" s="394"/>
      <c r="E74" s="395"/>
      <c r="F74" s="395"/>
      <c r="G74" s="395"/>
      <c r="H74" s="395"/>
      <c r="I74" s="395"/>
      <c r="J74" s="395"/>
      <c r="K74" s="391"/>
    </row>
    <row r="75" spans="1:11" s="392" customFormat="1" ht="11.4">
      <c r="A75" s="396" t="s">
        <v>615</v>
      </c>
      <c r="B75" s="393">
        <f>'Sources and Uses Budget'!C75</f>
        <v>997590</v>
      </c>
      <c r="C75" s="394"/>
      <c r="D75" s="394"/>
      <c r="E75" s="395"/>
      <c r="F75" s="395"/>
      <c r="G75" s="395"/>
      <c r="H75" s="395"/>
      <c r="I75" s="395"/>
      <c r="J75" s="395"/>
      <c r="K75" s="391"/>
    </row>
    <row r="76" spans="1:11" s="392" customFormat="1" ht="11.4">
      <c r="A76" s="396" t="str">
        <f>'Sources and Uses Budget'!$A76</f>
        <v>Other: (Specify)</v>
      </c>
      <c r="B76" s="393">
        <f>'Sources and Uses Budget'!C76</f>
        <v>0</v>
      </c>
      <c r="C76" s="394"/>
      <c r="D76" s="394"/>
      <c r="E76" s="395"/>
      <c r="F76" s="395"/>
      <c r="G76" s="395"/>
      <c r="H76" s="395"/>
      <c r="I76" s="395"/>
      <c r="J76" s="395"/>
      <c r="K76" s="391"/>
    </row>
    <row r="77" spans="1:11" s="392" customFormat="1">
      <c r="A77" s="397" t="s">
        <v>616</v>
      </c>
      <c r="B77" s="393">
        <f>'Sources and Uses Budget'!C77</f>
        <v>997590</v>
      </c>
      <c r="C77" s="393">
        <f>SUM(C72:C76)</f>
        <v>0</v>
      </c>
      <c r="D77" s="393">
        <f>SUM(D72:D76)</f>
        <v>0</v>
      </c>
      <c r="E77" s="395"/>
      <c r="F77" s="395"/>
      <c r="G77" s="395"/>
      <c r="H77" s="395"/>
      <c r="I77" s="395"/>
      <c r="J77" s="395"/>
      <c r="K77" s="391"/>
    </row>
    <row r="78" spans="1:11" s="392" customFormat="1" ht="11.4">
      <c r="A78" s="389" t="s">
        <v>1352</v>
      </c>
      <c r="B78" s="390"/>
      <c r="C78" s="390"/>
      <c r="D78" s="390"/>
      <c r="E78" s="390"/>
      <c r="F78" s="390"/>
      <c r="G78" s="390"/>
      <c r="H78" s="390"/>
      <c r="I78" s="390"/>
      <c r="J78" s="390"/>
      <c r="K78" s="391"/>
    </row>
    <row r="79" spans="1:11" s="392" customFormat="1" ht="11.4">
      <c r="A79" s="396" t="s">
        <v>1354</v>
      </c>
      <c r="B79" s="393">
        <f>'Sources and Uses Budget'!C79</f>
        <v>2465251</v>
      </c>
      <c r="C79" s="394"/>
      <c r="D79" s="394"/>
      <c r="E79" s="393">
        <f>'Sources and Uses Budget'!S79</f>
        <v>2465251</v>
      </c>
      <c r="F79" s="394"/>
      <c r="G79" s="394"/>
      <c r="H79" s="393">
        <f>'Sources and Uses Budget'!T79</f>
        <v>0</v>
      </c>
      <c r="I79" s="394"/>
      <c r="J79" s="394"/>
      <c r="K79" s="391"/>
    </row>
    <row r="80" spans="1:11" s="392" customFormat="1" ht="11.4">
      <c r="A80" s="396" t="s">
        <v>58</v>
      </c>
      <c r="B80" s="393">
        <f>'Sources and Uses Budget'!C80</f>
        <v>125000</v>
      </c>
      <c r="C80" s="394"/>
      <c r="D80" s="394"/>
      <c r="E80" s="393">
        <f>'Sources and Uses Budget'!S80</f>
        <v>125000</v>
      </c>
      <c r="F80" s="394"/>
      <c r="G80" s="394"/>
      <c r="H80" s="393">
        <f>'Sources and Uses Budget'!T80</f>
        <v>0</v>
      </c>
      <c r="I80" s="394"/>
      <c r="J80" s="394"/>
      <c r="K80" s="391"/>
    </row>
    <row r="81" spans="1:11" s="392" customFormat="1">
      <c r="A81" s="397" t="s">
        <v>1351</v>
      </c>
      <c r="B81" s="393">
        <f>'Sources and Uses Budget'!C81</f>
        <v>2590251</v>
      </c>
      <c r="C81" s="393">
        <f>SUM(C79:C80)</f>
        <v>0</v>
      </c>
      <c r="D81" s="393">
        <f>SUM(D79:D80)</f>
        <v>0</v>
      </c>
      <c r="E81" s="393">
        <f>'Sources and Uses Budget'!S81</f>
        <v>2590251</v>
      </c>
      <c r="F81" s="393">
        <f>SUM(F79:F80)</f>
        <v>0</v>
      </c>
      <c r="G81" s="393">
        <f>SUM(G79:G80)</f>
        <v>0</v>
      </c>
      <c r="H81" s="393">
        <f>'Sources and Uses Budget'!T81</f>
        <v>0</v>
      </c>
      <c r="I81" s="393">
        <f>SUM(I79:I80)</f>
        <v>0</v>
      </c>
      <c r="J81" s="393">
        <f>SUM(J79:J80)</f>
        <v>0</v>
      </c>
      <c r="K81" s="391"/>
    </row>
    <row r="82" spans="1:11" s="392" customFormat="1" ht="11.4">
      <c r="A82" s="389" t="s">
        <v>790</v>
      </c>
      <c r="B82" s="390"/>
      <c r="C82" s="390"/>
      <c r="D82" s="390"/>
      <c r="E82" s="390"/>
      <c r="F82" s="390"/>
      <c r="G82" s="390"/>
      <c r="H82" s="390"/>
      <c r="I82" s="390"/>
      <c r="J82" s="390"/>
      <c r="K82" s="391"/>
    </row>
    <row r="83" spans="1:11" s="392" customFormat="1" ht="13.65" customHeight="1">
      <c r="A83" s="145" t="s">
        <v>2511</v>
      </c>
      <c r="B83" s="393">
        <f>'Sources and Uses Budget'!C83</f>
        <v>138072</v>
      </c>
      <c r="C83" s="394"/>
      <c r="D83" s="394"/>
      <c r="E83" s="395"/>
      <c r="F83" s="395"/>
      <c r="G83" s="395"/>
      <c r="H83" s="395"/>
      <c r="I83" s="395"/>
      <c r="J83" s="395"/>
      <c r="K83" s="391"/>
    </row>
    <row r="84" spans="1:11" s="392" customFormat="1" ht="11.4">
      <c r="A84" s="145" t="s">
        <v>792</v>
      </c>
      <c r="B84" s="393">
        <f>'Sources and Uses Budget'!C84</f>
        <v>503500</v>
      </c>
      <c r="C84" s="394"/>
      <c r="D84" s="394"/>
      <c r="E84" s="393">
        <f>'Sources and Uses Budget'!S84</f>
        <v>503500</v>
      </c>
      <c r="F84" s="394"/>
      <c r="G84" s="394"/>
      <c r="H84" s="393">
        <f>'Sources and Uses Budget'!T84</f>
        <v>0</v>
      </c>
      <c r="I84" s="394"/>
      <c r="J84" s="394"/>
      <c r="K84" s="391"/>
    </row>
    <row r="85" spans="1:11" s="392" customFormat="1" ht="11.4">
      <c r="A85" s="145" t="s">
        <v>793</v>
      </c>
      <c r="B85" s="393">
        <f>'Sources and Uses Budget'!C85</f>
        <v>8730343</v>
      </c>
      <c r="C85" s="394"/>
      <c r="D85" s="394"/>
      <c r="E85" s="393">
        <f>'Sources and Uses Budget'!S85</f>
        <v>8730343</v>
      </c>
      <c r="F85" s="394"/>
      <c r="G85" s="394"/>
      <c r="H85" s="393">
        <f>'Sources and Uses Budget'!T85</f>
        <v>0</v>
      </c>
      <c r="I85" s="394"/>
      <c r="J85" s="394"/>
      <c r="K85" s="391"/>
    </row>
    <row r="86" spans="1:11" s="392" customFormat="1" ht="11.4">
      <c r="A86" s="145" t="s">
        <v>794</v>
      </c>
      <c r="B86" s="393">
        <f>'Sources and Uses Budget'!C86</f>
        <v>2000000</v>
      </c>
      <c r="C86" s="394"/>
      <c r="D86" s="394"/>
      <c r="E86" s="393">
        <f>'Sources and Uses Budget'!S86</f>
        <v>2000000</v>
      </c>
      <c r="F86" s="394"/>
      <c r="G86" s="394"/>
      <c r="H86" s="393">
        <f>'Sources and Uses Budget'!T86</f>
        <v>0</v>
      </c>
      <c r="I86" s="394"/>
      <c r="J86" s="394"/>
      <c r="K86" s="391"/>
    </row>
    <row r="87" spans="1:11" s="392" customFormat="1" ht="11.4">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ht="11.4">
      <c r="A88" s="145" t="s">
        <v>796</v>
      </c>
      <c r="B88" s="393">
        <f>'Sources and Uses Budget'!C88</f>
        <v>370979</v>
      </c>
      <c r="C88" s="394"/>
      <c r="D88" s="394"/>
      <c r="E88" s="395"/>
      <c r="F88" s="395"/>
      <c r="G88" s="395"/>
      <c r="H88" s="395"/>
      <c r="I88" s="395"/>
      <c r="J88" s="395"/>
      <c r="K88" s="391"/>
    </row>
    <row r="89" spans="1:11" s="392" customFormat="1" ht="11.4">
      <c r="A89" s="145" t="s">
        <v>797</v>
      </c>
      <c r="B89" s="393">
        <f>'Sources and Uses Budget'!C89</f>
        <v>400000</v>
      </c>
      <c r="C89" s="394"/>
      <c r="D89" s="394"/>
      <c r="E89" s="393">
        <f>'Sources and Uses Budget'!S89</f>
        <v>400000</v>
      </c>
      <c r="F89" s="394"/>
      <c r="G89" s="394"/>
      <c r="H89" s="393">
        <f>'Sources and Uses Budget'!T89</f>
        <v>0</v>
      </c>
      <c r="I89" s="394"/>
      <c r="J89" s="394"/>
      <c r="K89" s="391"/>
    </row>
    <row r="90" spans="1:11" s="392" customFormat="1" ht="11.4">
      <c r="A90" s="145" t="s">
        <v>798</v>
      </c>
      <c r="B90" s="393">
        <f>'Sources and Uses Budget'!C90</f>
        <v>10000</v>
      </c>
      <c r="C90" s="394"/>
      <c r="D90" s="394"/>
      <c r="E90" s="393">
        <f>'Sources and Uses Budget'!S90</f>
        <v>10000</v>
      </c>
      <c r="F90" s="394"/>
      <c r="G90" s="394"/>
      <c r="H90" s="393">
        <f>'Sources and Uses Budget'!T90</f>
        <v>0</v>
      </c>
      <c r="I90" s="394"/>
      <c r="J90" s="394"/>
      <c r="K90" s="391"/>
    </row>
    <row r="91" spans="1:11" s="392" customFormat="1" ht="11.4">
      <c r="A91" s="155" t="s">
        <v>374</v>
      </c>
      <c r="B91" s="393">
        <f>'Sources and Uses Budget'!C91</f>
        <v>110000</v>
      </c>
      <c r="C91" s="394"/>
      <c r="D91" s="394"/>
      <c r="E91" s="393">
        <f>'Sources and Uses Budget'!S91</f>
        <v>110000</v>
      </c>
      <c r="F91" s="394"/>
      <c r="G91" s="394"/>
      <c r="H91" s="393">
        <f>'Sources and Uses Budget'!T91</f>
        <v>0</v>
      </c>
      <c r="I91" s="394"/>
      <c r="J91" s="394"/>
      <c r="K91" s="391"/>
    </row>
    <row r="92" spans="1:11" s="392" customFormat="1" ht="11.4">
      <c r="A92" s="543" t="s">
        <v>1353</v>
      </c>
      <c r="B92" s="393">
        <f>'Sources and Uses Budget'!C92</f>
        <v>10000</v>
      </c>
      <c r="C92" s="394"/>
      <c r="D92" s="394"/>
      <c r="E92" s="393">
        <f>'Sources and Uses Budget'!S92</f>
        <v>10000</v>
      </c>
      <c r="F92" s="394"/>
      <c r="G92" s="394"/>
      <c r="H92" s="393">
        <f>'Sources and Uses Budget'!T92</f>
        <v>0</v>
      </c>
      <c r="I92" s="394"/>
      <c r="J92" s="394"/>
      <c r="K92" s="391"/>
    </row>
    <row r="93" spans="1:11" s="392" customFormat="1" ht="11.4">
      <c r="A93" s="396" t="str">
        <f>'Sources and Uses Budget'!$A93</f>
        <v>Other: (Specify)</v>
      </c>
      <c r="B93" s="393">
        <f>'Sources and Uses Budget'!C93</f>
        <v>0</v>
      </c>
      <c r="C93" s="394"/>
      <c r="D93" s="394"/>
      <c r="E93" s="393">
        <f>'Sources and Uses Budget'!S93</f>
        <v>0</v>
      </c>
      <c r="F93" s="394"/>
      <c r="G93" s="394"/>
      <c r="H93" s="393">
        <f>'Sources and Uses Budget'!T93</f>
        <v>0</v>
      </c>
      <c r="I93" s="394"/>
      <c r="J93" s="394"/>
      <c r="K93" s="391"/>
    </row>
    <row r="94" spans="1:11" s="392" customFormat="1" ht="11.4">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ht="11.4">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799</v>
      </c>
      <c r="B96" s="393">
        <f>'Sources and Uses Budget'!C96</f>
        <v>12272894</v>
      </c>
      <c r="C96" s="393">
        <f>SUM(C83:C95)</f>
        <v>0</v>
      </c>
      <c r="D96" s="393">
        <f>SUM(D83:D95)</f>
        <v>0</v>
      </c>
      <c r="E96" s="393">
        <f>'Sources and Uses Budget'!S96</f>
        <v>11763843</v>
      </c>
      <c r="F96" s="399">
        <f>SUM(F84:F87,F89:F95)</f>
        <v>0</v>
      </c>
      <c r="G96" s="399">
        <f>SUM(G84:G87,G89:G95)</f>
        <v>0</v>
      </c>
      <c r="H96" s="393">
        <f>'Sources and Uses Budget'!T96</f>
        <v>0</v>
      </c>
      <c r="I96" s="393">
        <f>SUM(I84:I87,I89:I95)</f>
        <v>0</v>
      </c>
      <c r="J96" s="393">
        <f>SUM(J84:J87,J89:J95)</f>
        <v>0</v>
      </c>
      <c r="K96" s="391"/>
    </row>
    <row r="97" spans="1:11" s="392" customFormat="1">
      <c r="A97" s="397" t="s">
        <v>1089</v>
      </c>
      <c r="B97" s="393">
        <f>'Sources and Uses Budget'!C97</f>
        <v>78705567</v>
      </c>
      <c r="C97" s="393">
        <f>SUM(C63+C70+C77+C81+C96)</f>
        <v>0</v>
      </c>
      <c r="D97" s="393">
        <f>SUM(D63+D70+D77+D81+D96)</f>
        <v>0</v>
      </c>
      <c r="E97" s="393">
        <f>'Sources and Uses Budget'!S97</f>
        <v>71224500</v>
      </c>
      <c r="F97" s="399">
        <f>SUM(+F63+F70+F81+F96)</f>
        <v>0</v>
      </c>
      <c r="G97" s="399">
        <f>SUM(+G63+G70+G81+G96)</f>
        <v>0</v>
      </c>
      <c r="H97" s="393">
        <f>'Sources and Uses Budget'!T97</f>
        <v>0</v>
      </c>
      <c r="I97" s="399">
        <f>SUM(I63+I70+I81+I96)</f>
        <v>0</v>
      </c>
      <c r="J97" s="399">
        <f>SUM(J63+J70+J81+J96)</f>
        <v>0</v>
      </c>
      <c r="K97" s="391"/>
    </row>
    <row r="98" spans="1:11" s="392" customFormat="1" ht="11.4">
      <c r="A98" s="389" t="s">
        <v>801</v>
      </c>
      <c r="B98" s="390"/>
      <c r="C98" s="390"/>
      <c r="D98" s="390"/>
      <c r="E98" s="390"/>
      <c r="F98" s="390"/>
      <c r="G98" s="390"/>
      <c r="H98" s="390"/>
      <c r="I98" s="390"/>
      <c r="J98" s="390"/>
      <c r="K98" s="391"/>
    </row>
    <row r="99" spans="1:11" s="392" customFormat="1" ht="11.4">
      <c r="A99" s="145" t="s">
        <v>802</v>
      </c>
      <c r="B99" s="393">
        <f>'Sources and Uses Budget'!C99</f>
        <v>10683675</v>
      </c>
      <c r="C99" s="394"/>
      <c r="D99" s="394"/>
      <c r="E99" s="393">
        <f>'Sources and Uses Budget'!S99</f>
        <v>10683675</v>
      </c>
      <c r="F99" s="394"/>
      <c r="G99" s="394"/>
      <c r="H99" s="393">
        <f>'Sources and Uses Budget'!T99</f>
        <v>0</v>
      </c>
      <c r="I99" s="394"/>
      <c r="J99" s="394"/>
      <c r="K99" s="391"/>
    </row>
    <row r="100" spans="1:11" s="392" customFormat="1" ht="11.4">
      <c r="A100" s="304" t="s">
        <v>1825</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ht="11.4">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1826</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ht="11.4">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10683675</v>
      </c>
      <c r="C104" s="393">
        <f>SUM(C99:C103)</f>
        <v>0</v>
      </c>
      <c r="D104" s="393">
        <f>SUM(D99:D103)</f>
        <v>0</v>
      </c>
      <c r="E104" s="393">
        <f>'Sources and Uses Budget'!S104</f>
        <v>10683675</v>
      </c>
      <c r="F104" s="399">
        <f>SUM(F99:F103)</f>
        <v>0</v>
      </c>
      <c r="G104" s="399">
        <f>SUM(G99:G103)</f>
        <v>0</v>
      </c>
      <c r="H104" s="393">
        <f>'Sources and Uses Budget'!T104</f>
        <v>0</v>
      </c>
      <c r="I104" s="399">
        <f>SUM(I99:I103)</f>
        <v>0</v>
      </c>
      <c r="J104" s="399">
        <f>SUM(J99:J103)</f>
        <v>0</v>
      </c>
      <c r="K104" s="391"/>
    </row>
    <row r="105" spans="1:11" s="392" customFormat="1">
      <c r="A105" s="397" t="s">
        <v>1090</v>
      </c>
      <c r="B105" s="393">
        <f>'Sources and Uses Budget'!C105</f>
        <v>89389242</v>
      </c>
      <c r="C105" s="399">
        <f>SUM(C97+C104)</f>
        <v>0</v>
      </c>
      <c r="D105" s="399">
        <f>SUM(D97+D104)</f>
        <v>0</v>
      </c>
      <c r="E105" s="393">
        <f>'Sources and Uses Budget'!S105</f>
        <v>81908175</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81908175</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2">
      <c r="A111" s="409"/>
      <c r="B111" s="407"/>
      <c r="C111" s="407"/>
      <c r="D111" s="407"/>
      <c r="J111" s="408"/>
      <c r="K111" s="391"/>
    </row>
    <row r="112" spans="1:11" s="392" customFormat="1" ht="13.2">
      <c r="A112" s="409"/>
      <c r="B112" s="407"/>
      <c r="C112" s="407"/>
      <c r="D112" s="407"/>
      <c r="J112" s="408"/>
      <c r="K112" s="391"/>
    </row>
    <row r="113" spans="1:11" s="392" customFormat="1" ht="15.6">
      <c r="A113" s="410"/>
      <c r="B113" s="407"/>
      <c r="C113" s="407"/>
      <c r="D113" s="407"/>
      <c r="J113" s="408"/>
      <c r="K113" s="391"/>
    </row>
    <row r="114" spans="1:11" s="392" customFormat="1" ht="13.2">
      <c r="A114" s="409"/>
      <c r="J114" s="408"/>
      <c r="K114" s="391"/>
    </row>
    <row r="115" spans="1:11" s="392" customFormat="1" ht="15.6">
      <c r="A115" s="410"/>
      <c r="J115" s="408"/>
      <c r="K115" s="391"/>
    </row>
    <row r="116" spans="1:11" s="392" customFormat="1" ht="15.6">
      <c r="A116" s="410"/>
      <c r="J116" s="408"/>
      <c r="K116" s="391"/>
    </row>
    <row r="117" spans="1:11" s="392" customFormat="1" ht="11.4">
      <c r="B117" s="407"/>
      <c r="C117" s="407"/>
      <c r="D117" s="407"/>
      <c r="J117" s="408"/>
      <c r="K117" s="391"/>
    </row>
    <row r="118" spans="1:11" s="392" customFormat="1" ht="11.4">
      <c r="J118" s="408"/>
      <c r="K118" s="391"/>
    </row>
    <row r="119" spans="1:11" s="392" customFormat="1" ht="11.4">
      <c r="J119" s="408"/>
      <c r="K119" s="391"/>
    </row>
    <row r="120" spans="1:11" s="392" customFormat="1" ht="11.4">
      <c r="J120" s="408"/>
      <c r="K120" s="391"/>
    </row>
    <row r="121" spans="1:11" s="392" customFormat="1" ht="15.6">
      <c r="A121" s="410"/>
      <c r="J121" s="408"/>
      <c r="K121" s="391"/>
    </row>
    <row r="122" spans="1:11" s="412" customFormat="1" ht="15.6">
      <c r="A122" s="411"/>
      <c r="J122" s="413"/>
      <c r="K122" s="414"/>
    </row>
    <row r="123" spans="1:11" s="392" customFormat="1" ht="11.4">
      <c r="A123" s="415"/>
      <c r="J123" s="408"/>
      <c r="K123" s="391"/>
    </row>
    <row r="124" spans="1:11" s="392" customFormat="1" ht="11.4">
      <c r="B124" s="416"/>
      <c r="D124" s="1863"/>
      <c r="E124" s="1338"/>
      <c r="F124" s="1338"/>
      <c r="G124" s="1338"/>
      <c r="H124" s="1338"/>
      <c r="I124" s="1338"/>
      <c r="J124" s="408"/>
      <c r="K124" s="391"/>
    </row>
    <row r="125" spans="1:11" s="392" customFormat="1" ht="13.2">
      <c r="A125" s="417"/>
      <c r="B125" s="416"/>
      <c r="C125" s="417"/>
      <c r="D125" s="1338"/>
      <c r="E125" s="1338"/>
      <c r="F125" s="1338"/>
      <c r="G125" s="1338"/>
      <c r="H125" s="1338"/>
      <c r="I125" s="1338"/>
      <c r="J125" s="408"/>
      <c r="K125" s="391"/>
    </row>
    <row r="126" spans="1:11" s="392" customFormat="1" ht="13.2">
      <c r="A126" s="417"/>
      <c r="B126" s="416"/>
      <c r="C126" s="417"/>
      <c r="D126" s="1338"/>
      <c r="E126" s="1338"/>
      <c r="F126" s="1338"/>
      <c r="G126" s="1338"/>
      <c r="H126" s="1338"/>
      <c r="I126" s="1338"/>
      <c r="J126" s="408"/>
      <c r="K126" s="391"/>
    </row>
    <row r="127" spans="1:11" s="392" customFormat="1" ht="13.2">
      <c r="A127" s="417"/>
      <c r="B127" s="416"/>
      <c r="C127" s="417"/>
      <c r="D127" s="418"/>
      <c r="E127" s="417"/>
      <c r="F127" s="417"/>
      <c r="G127" s="417"/>
      <c r="J127" s="408"/>
      <c r="K127" s="391"/>
    </row>
    <row r="128" spans="1:11" s="392" customFormat="1" ht="13.2">
      <c r="A128" s="417"/>
      <c r="B128" s="416"/>
      <c r="C128" s="417"/>
      <c r="D128" s="418"/>
      <c r="E128" s="417"/>
      <c r="F128" s="417"/>
      <c r="G128" s="417"/>
      <c r="J128" s="408"/>
      <c r="K128" s="391"/>
    </row>
    <row r="129" spans="1:11" s="392" customFormat="1" ht="13.2">
      <c r="A129" s="417"/>
      <c r="B129" s="416"/>
      <c r="C129" s="417"/>
      <c r="D129" s="417"/>
      <c r="E129" s="417"/>
      <c r="F129" s="417"/>
      <c r="G129" s="417"/>
      <c r="J129" s="408"/>
      <c r="K129" s="391"/>
    </row>
    <row r="130" spans="1:11" s="392" customFormat="1" ht="13.2">
      <c r="A130" s="417"/>
      <c r="B130" s="416"/>
      <c r="C130" s="417"/>
      <c r="D130" s="417"/>
      <c r="E130" s="417"/>
      <c r="F130" s="417"/>
      <c r="G130" s="417"/>
      <c r="J130" s="408"/>
      <c r="K130" s="391"/>
    </row>
    <row r="131" spans="1:11" s="392" customFormat="1" ht="13.2">
      <c r="A131" s="417"/>
      <c r="B131" s="419"/>
      <c r="C131" s="417"/>
      <c r="D131" s="417"/>
      <c r="E131" s="417"/>
      <c r="F131" s="417"/>
      <c r="G131" s="417"/>
      <c r="J131" s="408"/>
      <c r="K131" s="391"/>
    </row>
    <row r="132" spans="1:11" s="392" customFormat="1" ht="13.2">
      <c r="A132" s="420"/>
      <c r="B132" s="421"/>
      <c r="C132" s="417"/>
      <c r="D132" s="422"/>
      <c r="E132" s="417"/>
      <c r="F132" s="417"/>
      <c r="G132" s="417"/>
      <c r="J132" s="408"/>
      <c r="K132" s="391"/>
    </row>
    <row r="133" spans="1:11" s="392" customFormat="1" ht="13.2">
      <c r="A133" s="423"/>
      <c r="B133" s="417"/>
      <c r="C133" s="417"/>
      <c r="D133" s="417"/>
      <c r="E133" s="417"/>
      <c r="F133" s="417"/>
      <c r="G133" s="417"/>
      <c r="J133" s="408"/>
      <c r="K133" s="391"/>
    </row>
    <row r="134" spans="1:11" s="392" customFormat="1" ht="13.2">
      <c r="A134" s="423"/>
      <c r="B134" s="417"/>
      <c r="C134" s="417"/>
      <c r="D134" s="417"/>
      <c r="E134" s="417"/>
      <c r="F134" s="417"/>
      <c r="G134" s="417"/>
      <c r="J134" s="408"/>
      <c r="K134" s="391"/>
    </row>
    <row r="135" spans="1:11" s="392" customFormat="1" ht="13.2">
      <c r="A135" s="424"/>
      <c r="B135" s="417"/>
      <c r="C135" s="417"/>
      <c r="D135" s="417"/>
      <c r="E135" s="417"/>
      <c r="F135" s="417"/>
      <c r="G135" s="417"/>
      <c r="J135" s="408"/>
      <c r="K135" s="391"/>
    </row>
    <row r="136" spans="1:11" s="392" customFormat="1" ht="13.2">
      <c r="A136" s="409"/>
      <c r="B136" s="417"/>
      <c r="C136" s="417"/>
      <c r="D136" s="417"/>
      <c r="E136" s="417"/>
      <c r="F136" s="417"/>
      <c r="G136" s="417"/>
      <c r="J136" s="408"/>
      <c r="K136" s="391"/>
    </row>
    <row r="137" spans="1:11" ht="13.2">
      <c r="A137" s="423"/>
      <c r="B137" s="417"/>
      <c r="C137" s="417"/>
      <c r="D137" s="417"/>
      <c r="E137" s="417"/>
      <c r="F137" s="417"/>
      <c r="G137" s="417"/>
    </row>
    <row r="138" spans="1:11" ht="12" customHeight="1">
      <c r="A138" s="423"/>
      <c r="B138" s="417"/>
      <c r="C138" s="417"/>
      <c r="D138" s="417"/>
      <c r="E138" s="417"/>
      <c r="F138" s="417"/>
      <c r="G138" s="417"/>
    </row>
    <row r="139" spans="1:11" ht="12" customHeight="1">
      <c r="A139" s="1864"/>
      <c r="B139" s="1338"/>
      <c r="C139" s="1338"/>
      <c r="D139" s="388"/>
      <c r="E139" s="417"/>
      <c r="F139" s="417"/>
      <c r="G139" s="417"/>
    </row>
    <row r="140" spans="1:11" ht="12" customHeight="1">
      <c r="A140" s="1276"/>
      <c r="B140" s="1276"/>
      <c r="C140" s="1276"/>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14" priority="5" stopIfTrue="1" operator="notEqual">
      <formula>$C3+$D3</formula>
    </cfRule>
  </conditionalFormatting>
  <conditionalFormatting sqref="E3:E107">
    <cfRule type="cellIs" dxfId="13" priority="2" stopIfTrue="1" operator="notEqual">
      <formula>$F3+$G3</formula>
    </cfRule>
  </conditionalFormatting>
  <conditionalFormatting sqref="H3:H107">
    <cfRule type="cellIs" dxfId="12"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54" zoomScaleNormal="100" zoomScaleSheetLayoutView="100" workbookViewId="0">
      <selection activeCell="W596" sqref="W596"/>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69"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2092" t="s">
        <v>1471</v>
      </c>
      <c r="B1" s="2092"/>
      <c r="C1" s="2092"/>
      <c r="D1" s="2092"/>
      <c r="E1" s="2092"/>
      <c r="F1" s="2092"/>
      <c r="G1" s="2092"/>
      <c r="H1" s="2092"/>
      <c r="I1" s="2092"/>
      <c r="J1" s="2092"/>
      <c r="K1" s="2092"/>
      <c r="L1" s="2092"/>
      <c r="M1" s="2092"/>
      <c r="N1" s="2092"/>
      <c r="O1" s="2092"/>
      <c r="P1" s="2092"/>
      <c r="Q1" s="2092"/>
      <c r="R1" s="2092"/>
      <c r="S1" s="2092"/>
      <c r="T1" s="2092"/>
      <c r="U1" s="2092"/>
      <c r="V1" s="2092"/>
      <c r="W1" s="2092"/>
      <c r="X1" s="2092"/>
      <c r="Y1" s="2092"/>
      <c r="Z1" s="2092"/>
      <c r="AA1" s="2092"/>
      <c r="AB1" s="2092"/>
      <c r="AC1" s="2092"/>
      <c r="AD1" s="2092"/>
      <c r="AE1" s="2092"/>
      <c r="AF1" s="2092"/>
      <c r="AG1" s="2092"/>
      <c r="AH1" s="2092"/>
      <c r="AI1" s="2092"/>
      <c r="AJ1" s="2092"/>
      <c r="AK1" s="2092"/>
      <c r="AL1" s="2092"/>
      <c r="AM1" s="2092"/>
    </row>
    <row r="2" spans="1:42" s="571" customFormat="1" ht="12.75" customHeight="1" thickBot="1">
      <c r="A2" s="2093"/>
      <c r="B2" s="2093"/>
      <c r="C2" s="2093"/>
      <c r="D2" s="2093"/>
      <c r="E2" s="2093"/>
      <c r="F2" s="2093"/>
      <c r="G2" s="2093"/>
      <c r="H2" s="2093"/>
      <c r="I2" s="2093"/>
      <c r="J2" s="2093"/>
      <c r="K2" s="2093"/>
      <c r="L2" s="2093"/>
      <c r="M2" s="2093"/>
      <c r="N2" s="2093"/>
      <c r="O2" s="2093"/>
      <c r="P2" s="2093"/>
      <c r="Q2" s="2093"/>
      <c r="R2" s="2093"/>
      <c r="S2" s="2093"/>
      <c r="T2" s="2093"/>
      <c r="U2" s="2093"/>
      <c r="V2" s="2093"/>
      <c r="W2" s="2093"/>
      <c r="X2" s="2093"/>
      <c r="Y2" s="2093"/>
      <c r="Z2" s="2093"/>
      <c r="AA2" s="2093"/>
      <c r="AB2" s="2093"/>
      <c r="AC2" s="2093"/>
      <c r="AD2" s="2093"/>
      <c r="AE2" s="2093"/>
      <c r="AF2" s="2093"/>
      <c r="AG2" s="2093"/>
      <c r="AH2" s="2093"/>
      <c r="AI2" s="2093"/>
      <c r="AJ2" s="2093"/>
      <c r="AK2" s="2093"/>
      <c r="AL2" s="2093"/>
      <c r="AM2" s="2093"/>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1472</v>
      </c>
      <c r="B4" s="574" t="s">
        <v>1473</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1474</v>
      </c>
      <c r="B7" s="574" t="s">
        <v>1475</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08" t="s">
        <v>1476</v>
      </c>
      <c r="AF7" s="1908"/>
      <c r="AG7" s="1908"/>
      <c r="AH7" s="1908"/>
      <c r="AI7" s="1908"/>
      <c r="AJ7" s="1908"/>
      <c r="AK7" s="1908"/>
      <c r="AL7" s="575"/>
      <c r="AM7" s="575"/>
      <c r="AN7" s="570"/>
    </row>
    <row r="8" spans="1:42" s="571" customFormat="1" ht="12.75" customHeight="1">
      <c r="A8" s="573"/>
      <c r="B8" s="574" t="s">
        <v>1988</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2404</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2398</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86" t="s">
        <v>601</v>
      </c>
      <c r="C13" s="2086"/>
      <c r="D13" s="582"/>
      <c r="E13" s="583" t="s">
        <v>1477</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094"/>
      <c r="AH13" s="2094"/>
      <c r="AI13" s="2094"/>
      <c r="AJ13" s="2095"/>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86" t="s">
        <v>601</v>
      </c>
      <c r="C16" s="2086"/>
      <c r="D16" s="582"/>
      <c r="E16" s="2078" t="s">
        <v>1478</v>
      </c>
      <c r="F16" s="2079"/>
      <c r="G16" s="2079"/>
      <c r="H16" s="2079"/>
      <c r="I16" s="2079"/>
      <c r="J16" s="2079"/>
      <c r="K16" s="2079"/>
      <c r="L16" s="2079"/>
      <c r="M16" s="2079"/>
      <c r="N16" s="2079"/>
      <c r="O16" s="2079"/>
      <c r="P16" s="2079"/>
      <c r="Q16" s="2079"/>
      <c r="R16" s="2079"/>
      <c r="S16" s="2079"/>
      <c r="T16" s="2079"/>
      <c r="U16" s="2079"/>
      <c r="V16" s="2079"/>
      <c r="W16" s="2079"/>
      <c r="X16" s="2079"/>
      <c r="Y16" s="2079"/>
      <c r="Z16" s="2079"/>
      <c r="AA16" s="2079"/>
      <c r="AB16" s="2079"/>
      <c r="AC16" s="2079"/>
      <c r="AD16" s="2079"/>
      <c r="AE16" s="2079"/>
      <c r="AF16" s="2079"/>
      <c r="AG16" s="2079"/>
      <c r="AH16" s="2079"/>
      <c r="AI16" s="2079"/>
      <c r="AJ16" s="2080"/>
      <c r="AK16" s="575"/>
      <c r="AL16" s="575"/>
      <c r="AM16" s="575"/>
      <c r="AN16" s="570"/>
      <c r="AO16" s="585">
        <f>IF($B25="yes",20,0)</f>
        <v>0</v>
      </c>
      <c r="AP16" s="14"/>
    </row>
    <row r="17" spans="1:42" s="571" customFormat="1" ht="12.75" customHeight="1">
      <c r="A17" s="575"/>
      <c r="B17" s="575"/>
      <c r="C17" s="575"/>
      <c r="D17" s="586"/>
      <c r="E17" s="2081"/>
      <c r="F17" s="2082"/>
      <c r="G17" s="2082"/>
      <c r="H17" s="2082"/>
      <c r="I17" s="2082"/>
      <c r="J17" s="2082"/>
      <c r="K17" s="2082"/>
      <c r="L17" s="2082"/>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c r="AH17" s="2082"/>
      <c r="AI17" s="2082"/>
      <c r="AJ17" s="2083"/>
      <c r="AK17" s="575"/>
      <c r="AL17" s="575"/>
      <c r="AM17" s="575"/>
      <c r="AN17" s="570"/>
      <c r="AO17" s="571">
        <f>IF(SUM(AO13:AO16)&gt;20,20,(SUM(AO13:AO16)))</f>
        <v>0</v>
      </c>
      <c r="AP17" s="571" t="s">
        <v>1479</v>
      </c>
    </row>
    <row r="18" spans="1:42" s="571" customFormat="1" ht="12.75" customHeight="1">
      <c r="A18" s="575"/>
      <c r="B18" s="575"/>
      <c r="C18" s="575"/>
      <c r="D18" s="586"/>
      <c r="E18" s="2081"/>
      <c r="F18" s="2082"/>
      <c r="G18" s="2082"/>
      <c r="H18" s="2082"/>
      <c r="I18" s="2082"/>
      <c r="J18" s="2082"/>
      <c r="K18" s="2082"/>
      <c r="L18" s="2082"/>
      <c r="M18" s="2082"/>
      <c r="N18" s="2082"/>
      <c r="O18" s="2082"/>
      <c r="P18" s="2082"/>
      <c r="Q18" s="2082"/>
      <c r="R18" s="2082"/>
      <c r="S18" s="2082"/>
      <c r="T18" s="2082"/>
      <c r="U18" s="2082"/>
      <c r="V18" s="2082"/>
      <c r="W18" s="2082"/>
      <c r="X18" s="2082"/>
      <c r="Y18" s="2082"/>
      <c r="Z18" s="2082"/>
      <c r="AA18" s="2082"/>
      <c r="AB18" s="2082"/>
      <c r="AC18" s="2082"/>
      <c r="AD18" s="2082"/>
      <c r="AE18" s="2082"/>
      <c r="AF18" s="2082"/>
      <c r="AG18" s="2082"/>
      <c r="AH18" s="2082"/>
      <c r="AI18" s="2082"/>
      <c r="AJ18" s="2083"/>
      <c r="AK18" s="575"/>
      <c r="AL18" s="575"/>
      <c r="AM18" s="575"/>
      <c r="AN18" s="570"/>
    </row>
    <row r="19" spans="1:42" s="571" customFormat="1" ht="12.75" customHeight="1">
      <c r="A19" s="575"/>
      <c r="B19" s="575"/>
      <c r="C19" s="575"/>
      <c r="D19" s="586"/>
      <c r="E19" s="587" t="s">
        <v>1480</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02"/>
      <c r="F20" s="2103"/>
      <c r="G20" s="2103"/>
      <c r="H20" s="2103"/>
      <c r="I20" s="2103"/>
      <c r="J20" s="2103"/>
      <c r="K20" s="2103"/>
      <c r="L20" s="2103"/>
      <c r="M20" s="2103"/>
      <c r="N20" s="2103"/>
      <c r="O20" s="2103"/>
      <c r="P20" s="2103"/>
      <c r="Q20" s="2103"/>
      <c r="R20" s="2103"/>
      <c r="S20" s="2103"/>
      <c r="T20" s="2103"/>
      <c r="U20" s="2103"/>
      <c r="V20" s="2103"/>
      <c r="W20" s="2103"/>
      <c r="X20" s="2103"/>
      <c r="Y20" s="2103"/>
      <c r="Z20" s="2103"/>
      <c r="AA20" s="2103"/>
      <c r="AB20" s="2103"/>
      <c r="AC20" s="2103"/>
      <c r="AD20" s="2103"/>
      <c r="AE20" s="2103"/>
      <c r="AF20" s="2103"/>
      <c r="AG20" s="2103"/>
      <c r="AH20" s="2103"/>
      <c r="AI20" s="2103"/>
      <c r="AJ20" s="2104"/>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86" t="s">
        <v>601</v>
      </c>
      <c r="C22" s="2086"/>
      <c r="D22" s="582"/>
      <c r="E22" s="2096" t="s">
        <v>1481</v>
      </c>
      <c r="F22" s="2097"/>
      <c r="G22" s="2097"/>
      <c r="H22" s="2097"/>
      <c r="I22" s="2097"/>
      <c r="J22" s="2097"/>
      <c r="K22" s="2097"/>
      <c r="L22" s="2097"/>
      <c r="M22" s="2097"/>
      <c r="N22" s="2097"/>
      <c r="O22" s="2097"/>
      <c r="P22" s="2097"/>
      <c r="Q22" s="2097"/>
      <c r="R22" s="2097"/>
      <c r="S22" s="2097"/>
      <c r="T22" s="2097"/>
      <c r="U22" s="2097"/>
      <c r="V22" s="2097"/>
      <c r="W22" s="2097"/>
      <c r="X22" s="2097"/>
      <c r="Y22" s="2097"/>
      <c r="Z22" s="2097"/>
      <c r="AA22" s="2097"/>
      <c r="AB22" s="2097"/>
      <c r="AC22" s="2097"/>
      <c r="AD22" s="2097"/>
      <c r="AE22" s="2097"/>
      <c r="AF22" s="2097"/>
      <c r="AG22" s="2097"/>
      <c r="AH22" s="2097"/>
      <c r="AI22" s="2097"/>
      <c r="AJ22" s="2098"/>
      <c r="AK22" s="575"/>
      <c r="AL22" s="575"/>
      <c r="AM22" s="575"/>
      <c r="AN22" s="570"/>
      <c r="AO22" s="571">
        <f>IF(SUM(AO20:AO21)&gt;14,14,SUM(AO20:AO21))</f>
        <v>0</v>
      </c>
      <c r="AP22" s="571" t="s">
        <v>1479</v>
      </c>
    </row>
    <row r="23" spans="1:42" s="571" customFormat="1" ht="12.75" customHeight="1">
      <c r="A23" s="575"/>
      <c r="B23" s="575"/>
      <c r="C23" s="575"/>
      <c r="D23" s="585"/>
      <c r="E23" s="2099"/>
      <c r="F23" s="2100"/>
      <c r="G23" s="2100"/>
      <c r="H23" s="2100"/>
      <c r="I23" s="2100"/>
      <c r="J23" s="2100"/>
      <c r="K23" s="2100"/>
      <c r="L23" s="2100"/>
      <c r="M23" s="2100"/>
      <c r="N23" s="2100"/>
      <c r="O23" s="2100"/>
      <c r="P23" s="2100"/>
      <c r="Q23" s="2100"/>
      <c r="R23" s="2100"/>
      <c r="S23" s="2100"/>
      <c r="T23" s="2100"/>
      <c r="U23" s="2100"/>
      <c r="V23" s="2100"/>
      <c r="W23" s="2100"/>
      <c r="X23" s="2100"/>
      <c r="Y23" s="2100"/>
      <c r="Z23" s="2100"/>
      <c r="AA23" s="2100"/>
      <c r="AB23" s="2100"/>
      <c r="AC23" s="2100"/>
      <c r="AD23" s="2100"/>
      <c r="AE23" s="2100"/>
      <c r="AF23" s="2100"/>
      <c r="AG23" s="2100"/>
      <c r="AH23" s="2100"/>
      <c r="AI23" s="2100"/>
      <c r="AJ23" s="2101"/>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86" t="s">
        <v>601</v>
      </c>
      <c r="C25" s="2086"/>
      <c r="D25" s="582"/>
      <c r="E25" s="2014" t="s">
        <v>2428</v>
      </c>
      <c r="F25" s="2015"/>
      <c r="G25" s="2015"/>
      <c r="H25" s="2015"/>
      <c r="I25" s="2015"/>
      <c r="J25" s="2015"/>
      <c r="K25" s="2015"/>
      <c r="L25" s="2015"/>
      <c r="M25" s="2015"/>
      <c r="N25" s="2015"/>
      <c r="O25" s="2015"/>
      <c r="P25" s="2015"/>
      <c r="Q25" s="2015"/>
      <c r="R25" s="2015"/>
      <c r="S25" s="2015"/>
      <c r="T25" s="2015"/>
      <c r="U25" s="2015"/>
      <c r="V25" s="2015"/>
      <c r="W25" s="2015"/>
      <c r="X25" s="2015"/>
      <c r="Y25" s="2015"/>
      <c r="Z25" s="2015"/>
      <c r="AA25" s="2015"/>
      <c r="AB25" s="2015"/>
      <c r="AC25" s="2015"/>
      <c r="AD25" s="2015"/>
      <c r="AE25" s="2015"/>
      <c r="AF25" s="2015"/>
      <c r="AG25" s="2015"/>
      <c r="AH25" s="2015"/>
      <c r="AI25" s="2015"/>
      <c r="AJ25" s="2016"/>
      <c r="AK25" s="575"/>
      <c r="AL25" s="575"/>
      <c r="AM25" s="575"/>
      <c r="AN25" s="570"/>
      <c r="AO25" s="571">
        <f>IF(AO24&gt;6,6,AO24)</f>
        <v>0</v>
      </c>
      <c r="AP25" s="571" t="s">
        <v>1479</v>
      </c>
    </row>
    <row r="26" spans="1:42" s="571" customFormat="1" ht="12.75" customHeight="1">
      <c r="A26" s="575"/>
      <c r="B26" s="575"/>
      <c r="C26" s="575"/>
      <c r="D26" s="585"/>
      <c r="E26" s="2039"/>
      <c r="F26" s="2040"/>
      <c r="G26" s="2040"/>
      <c r="H26" s="2040"/>
      <c r="I26" s="2040"/>
      <c r="J26" s="2040"/>
      <c r="K26" s="2040"/>
      <c r="L26" s="2040"/>
      <c r="M26" s="2040"/>
      <c r="N26" s="2040"/>
      <c r="O26" s="2040"/>
      <c r="P26" s="2040"/>
      <c r="Q26" s="2040"/>
      <c r="R26" s="2040"/>
      <c r="S26" s="2040"/>
      <c r="T26" s="2040"/>
      <c r="U26" s="2040"/>
      <c r="V26" s="2040"/>
      <c r="W26" s="2040"/>
      <c r="X26" s="2040"/>
      <c r="Y26" s="2040"/>
      <c r="Z26" s="2040"/>
      <c r="AA26" s="2040"/>
      <c r="AB26" s="2040"/>
      <c r="AC26" s="2040"/>
      <c r="AD26" s="2040"/>
      <c r="AE26" s="2040"/>
      <c r="AF26" s="2040"/>
      <c r="AG26" s="2040"/>
      <c r="AH26" s="2040"/>
      <c r="AI26" s="2040"/>
      <c r="AJ26" s="2041"/>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2399</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1479</v>
      </c>
    </row>
    <row r="30" spans="1:42" s="571" customFormat="1" ht="12.75" customHeight="1">
      <c r="A30" s="575"/>
      <c r="B30" s="2086" t="s">
        <v>601</v>
      </c>
      <c r="C30" s="2086"/>
      <c r="D30" s="582"/>
      <c r="E30" s="2096" t="s">
        <v>2400</v>
      </c>
      <c r="F30" s="2097"/>
      <c r="G30" s="2097"/>
      <c r="H30" s="2097"/>
      <c r="I30" s="2097"/>
      <c r="J30" s="2097"/>
      <c r="K30" s="2097"/>
      <c r="L30" s="2097"/>
      <c r="M30" s="2097"/>
      <c r="N30" s="2097"/>
      <c r="O30" s="2097"/>
      <c r="P30" s="2097"/>
      <c r="Q30" s="2097"/>
      <c r="R30" s="2097"/>
      <c r="S30" s="2097"/>
      <c r="T30" s="2097"/>
      <c r="U30" s="2097"/>
      <c r="V30" s="2097"/>
      <c r="W30" s="2097"/>
      <c r="X30" s="2097"/>
      <c r="Y30" s="2097"/>
      <c r="Z30" s="2097"/>
      <c r="AA30" s="2097"/>
      <c r="AB30" s="2097"/>
      <c r="AC30" s="2097"/>
      <c r="AD30" s="2097"/>
      <c r="AE30" s="2097"/>
      <c r="AF30" s="2097"/>
      <c r="AG30" s="2097"/>
      <c r="AH30" s="2097"/>
      <c r="AI30" s="2097"/>
      <c r="AJ30" s="2098"/>
      <c r="AK30" s="575"/>
      <c r="AL30" s="575"/>
      <c r="AM30" s="575"/>
      <c r="AN30" s="570"/>
      <c r="AO30" s="585"/>
    </row>
    <row r="31" spans="1:42" s="571" customFormat="1" ht="12.75" customHeight="1">
      <c r="A31" s="575"/>
      <c r="B31" s="575"/>
      <c r="C31" s="575"/>
      <c r="E31" s="2099"/>
      <c r="F31" s="2100"/>
      <c r="G31" s="2100"/>
      <c r="H31" s="2100"/>
      <c r="I31" s="2100"/>
      <c r="J31" s="2100"/>
      <c r="K31" s="2100"/>
      <c r="L31" s="2100"/>
      <c r="M31" s="2100"/>
      <c r="N31" s="2100"/>
      <c r="O31" s="2100"/>
      <c r="P31" s="2100"/>
      <c r="Q31" s="2100"/>
      <c r="R31" s="2100"/>
      <c r="S31" s="2100"/>
      <c r="T31" s="2100"/>
      <c r="U31" s="2100"/>
      <c r="V31" s="2100"/>
      <c r="W31" s="2100"/>
      <c r="X31" s="2100"/>
      <c r="Y31" s="2100"/>
      <c r="Z31" s="2100"/>
      <c r="AA31" s="2100"/>
      <c r="AB31" s="2100"/>
      <c r="AC31" s="2100"/>
      <c r="AD31" s="2100"/>
      <c r="AE31" s="2100"/>
      <c r="AF31" s="2100"/>
      <c r="AG31" s="2100"/>
      <c r="AH31" s="2100"/>
      <c r="AI31" s="2100"/>
      <c r="AJ31" s="2101"/>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86" t="s">
        <v>601</v>
      </c>
      <c r="C33" s="2086"/>
      <c r="D33" s="582"/>
      <c r="E33" s="2014" t="s">
        <v>2401</v>
      </c>
      <c r="F33" s="2015"/>
      <c r="G33" s="2015"/>
      <c r="H33" s="2015"/>
      <c r="I33" s="2015"/>
      <c r="J33" s="2015"/>
      <c r="K33" s="2015"/>
      <c r="L33" s="2015"/>
      <c r="M33" s="2015"/>
      <c r="N33" s="2015"/>
      <c r="O33" s="2015"/>
      <c r="P33" s="2015"/>
      <c r="Q33" s="2015"/>
      <c r="R33" s="2015"/>
      <c r="S33" s="2015"/>
      <c r="T33" s="2015"/>
      <c r="U33" s="2015"/>
      <c r="V33" s="2015"/>
      <c r="W33" s="2015"/>
      <c r="X33" s="2015"/>
      <c r="Y33" s="2015"/>
      <c r="Z33" s="2015"/>
      <c r="AA33" s="2015"/>
      <c r="AB33" s="2015"/>
      <c r="AC33" s="2015"/>
      <c r="AD33" s="2015"/>
      <c r="AE33" s="2015"/>
      <c r="AF33" s="2015"/>
      <c r="AG33" s="2015"/>
      <c r="AH33" s="2015"/>
      <c r="AI33" s="2015"/>
      <c r="AJ33" s="2016"/>
      <c r="AK33" s="575"/>
      <c r="AL33" s="575"/>
      <c r="AM33" s="575"/>
      <c r="AN33" s="570"/>
    </row>
    <row r="34" spans="1:41" s="571" customFormat="1" ht="12.75" customHeight="1">
      <c r="A34" s="575"/>
      <c r="B34" s="575"/>
      <c r="C34" s="575"/>
      <c r="E34" s="2017"/>
      <c r="F34" s="2018"/>
      <c r="G34" s="2018"/>
      <c r="H34" s="2018"/>
      <c r="I34" s="2018"/>
      <c r="J34" s="2018"/>
      <c r="K34" s="2018"/>
      <c r="L34" s="2018"/>
      <c r="M34" s="2018"/>
      <c r="N34" s="2018"/>
      <c r="O34" s="2018"/>
      <c r="P34" s="2018"/>
      <c r="Q34" s="2018"/>
      <c r="R34" s="2018"/>
      <c r="S34" s="2018"/>
      <c r="T34" s="2018"/>
      <c r="U34" s="2018"/>
      <c r="V34" s="2018"/>
      <c r="W34" s="2018"/>
      <c r="X34" s="2018"/>
      <c r="Y34" s="2018"/>
      <c r="Z34" s="2018"/>
      <c r="AA34" s="2018"/>
      <c r="AB34" s="2018"/>
      <c r="AC34" s="2018"/>
      <c r="AD34" s="2018"/>
      <c r="AE34" s="2018"/>
      <c r="AF34" s="2018"/>
      <c r="AG34" s="2018"/>
      <c r="AH34" s="2018"/>
      <c r="AI34" s="2018"/>
      <c r="AJ34" s="2019"/>
      <c r="AK34" s="575"/>
      <c r="AL34" s="575"/>
      <c r="AM34" s="575"/>
      <c r="AN34" s="570"/>
    </row>
    <row r="35" spans="1:41" s="571" customFormat="1" ht="12.75" customHeight="1">
      <c r="A35" s="575"/>
      <c r="B35" s="575"/>
      <c r="C35" s="575"/>
      <c r="E35" s="2039"/>
      <c r="F35" s="2040"/>
      <c r="G35" s="2040"/>
      <c r="H35" s="2040"/>
      <c r="I35" s="2040"/>
      <c r="J35" s="2040"/>
      <c r="K35" s="2040"/>
      <c r="L35" s="2040"/>
      <c r="M35" s="2040"/>
      <c r="N35" s="2040"/>
      <c r="O35" s="2040"/>
      <c r="P35" s="2040"/>
      <c r="Q35" s="2040"/>
      <c r="R35" s="2040"/>
      <c r="S35" s="2040"/>
      <c r="T35" s="2040"/>
      <c r="U35" s="2040"/>
      <c r="V35" s="2040"/>
      <c r="W35" s="2040"/>
      <c r="X35" s="2040"/>
      <c r="Y35" s="2040"/>
      <c r="Z35" s="2040"/>
      <c r="AA35" s="2040"/>
      <c r="AB35" s="2040"/>
      <c r="AC35" s="2040"/>
      <c r="AD35" s="2040"/>
      <c r="AE35" s="2040"/>
      <c r="AF35" s="2040"/>
      <c r="AG35" s="2040"/>
      <c r="AH35" s="2040"/>
      <c r="AI35" s="2040"/>
      <c r="AJ35" s="2041"/>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2403</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86" t="s">
        <v>601</v>
      </c>
      <c r="C39" s="2086"/>
      <c r="D39" s="1195"/>
      <c r="E39" s="2014" t="s">
        <v>2402</v>
      </c>
      <c r="F39" s="2015"/>
      <c r="G39" s="2015"/>
      <c r="H39" s="2015"/>
      <c r="I39" s="2015"/>
      <c r="J39" s="2015"/>
      <c r="K39" s="2015"/>
      <c r="L39" s="2015"/>
      <c r="M39" s="2015"/>
      <c r="N39" s="2015"/>
      <c r="O39" s="2015"/>
      <c r="P39" s="2015"/>
      <c r="Q39" s="2015"/>
      <c r="R39" s="2015"/>
      <c r="S39" s="2015"/>
      <c r="T39" s="2015"/>
      <c r="U39" s="2015"/>
      <c r="V39" s="2015"/>
      <c r="W39" s="2015"/>
      <c r="X39" s="2015"/>
      <c r="Y39" s="2015"/>
      <c r="Z39" s="2015"/>
      <c r="AA39" s="2015"/>
      <c r="AB39" s="2015"/>
      <c r="AC39" s="2015"/>
      <c r="AD39" s="2015"/>
      <c r="AE39" s="2015"/>
      <c r="AF39" s="2015"/>
      <c r="AG39" s="2015"/>
      <c r="AH39" s="2015"/>
      <c r="AI39" s="2015"/>
      <c r="AJ39" s="2016"/>
      <c r="AK39" s="1195"/>
      <c r="AL39" s="575"/>
      <c r="AM39" s="575"/>
      <c r="AN39" s="570"/>
    </row>
    <row r="40" spans="1:41" s="571" customFormat="1" ht="12.75" customHeight="1">
      <c r="A40" s="575"/>
      <c r="B40" s="575"/>
      <c r="C40" s="575"/>
      <c r="E40" s="2017"/>
      <c r="F40" s="2018"/>
      <c r="G40" s="2018"/>
      <c r="H40" s="2018"/>
      <c r="I40" s="2018"/>
      <c r="J40" s="2018"/>
      <c r="K40" s="2018"/>
      <c r="L40" s="2018"/>
      <c r="M40" s="2018"/>
      <c r="N40" s="2018"/>
      <c r="O40" s="2018"/>
      <c r="P40" s="2018"/>
      <c r="Q40" s="2018"/>
      <c r="R40" s="2018"/>
      <c r="S40" s="2018"/>
      <c r="T40" s="2018"/>
      <c r="U40" s="2018"/>
      <c r="V40" s="2018"/>
      <c r="W40" s="2018"/>
      <c r="X40" s="2018"/>
      <c r="Y40" s="2018"/>
      <c r="Z40" s="2018"/>
      <c r="AA40" s="2018"/>
      <c r="AB40" s="2018"/>
      <c r="AC40" s="2018"/>
      <c r="AD40" s="2018"/>
      <c r="AE40" s="2018"/>
      <c r="AF40" s="2018"/>
      <c r="AG40" s="2018"/>
      <c r="AH40" s="2018"/>
      <c r="AI40" s="2018"/>
      <c r="AJ40" s="2019"/>
      <c r="AK40" s="575"/>
      <c r="AL40" s="575"/>
      <c r="AM40" s="575"/>
      <c r="AN40" s="570"/>
    </row>
    <row r="41" spans="1:41" s="571" customFormat="1" ht="12.75" customHeight="1">
      <c r="A41" s="575"/>
      <c r="D41" s="582"/>
      <c r="E41" s="2039"/>
      <c r="F41" s="2040"/>
      <c r="G41" s="2040"/>
      <c r="H41" s="2040"/>
      <c r="I41" s="2040"/>
      <c r="J41" s="2040"/>
      <c r="K41" s="2040"/>
      <c r="L41" s="2040"/>
      <c r="M41" s="2040"/>
      <c r="N41" s="2040"/>
      <c r="O41" s="2040"/>
      <c r="P41" s="2040"/>
      <c r="Q41" s="2040"/>
      <c r="R41" s="2040"/>
      <c r="S41" s="2040"/>
      <c r="T41" s="2040"/>
      <c r="U41" s="2040"/>
      <c r="V41" s="2040"/>
      <c r="W41" s="2040"/>
      <c r="X41" s="2040"/>
      <c r="Y41" s="2040"/>
      <c r="Z41" s="2040"/>
      <c r="AA41" s="2040"/>
      <c r="AB41" s="2040"/>
      <c r="AC41" s="2040"/>
      <c r="AD41" s="2040"/>
      <c r="AE41" s="2040"/>
      <c r="AF41" s="2040"/>
      <c r="AG41" s="2040"/>
      <c r="AH41" s="2040"/>
      <c r="AI41" s="2040"/>
      <c r="AJ41" s="2041"/>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2405</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2406</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86" t="s">
        <v>601</v>
      </c>
      <c r="C46" s="2086"/>
      <c r="D46" s="575"/>
      <c r="E46" s="2014" t="s">
        <v>2407</v>
      </c>
      <c r="F46" s="2015"/>
      <c r="G46" s="2015"/>
      <c r="H46" s="2015"/>
      <c r="I46" s="2015"/>
      <c r="J46" s="2015"/>
      <c r="K46" s="2015"/>
      <c r="L46" s="2015"/>
      <c r="M46" s="2015"/>
      <c r="N46" s="2015"/>
      <c r="O46" s="2015"/>
      <c r="P46" s="2015"/>
      <c r="Q46" s="2015"/>
      <c r="R46" s="2015"/>
      <c r="S46" s="2015"/>
      <c r="T46" s="2015"/>
      <c r="U46" s="2015"/>
      <c r="V46" s="2015"/>
      <c r="W46" s="2015"/>
      <c r="X46" s="2015"/>
      <c r="Y46" s="2015"/>
      <c r="Z46" s="2015"/>
      <c r="AA46" s="2015"/>
      <c r="AB46" s="2015"/>
      <c r="AC46" s="2015"/>
      <c r="AD46" s="2015"/>
      <c r="AE46" s="2015"/>
      <c r="AF46" s="2015"/>
      <c r="AG46" s="2015"/>
      <c r="AH46" s="2015"/>
      <c r="AI46" s="2015"/>
      <c r="AJ46" s="2016"/>
      <c r="AK46" s="575"/>
      <c r="AL46" s="575"/>
      <c r="AM46" s="575"/>
      <c r="AN46" s="570"/>
      <c r="AO46" s="594"/>
    </row>
    <row r="47" spans="1:41" s="571" customFormat="1" ht="12.75" customHeight="1">
      <c r="A47" s="575"/>
      <c r="D47" s="582"/>
      <c r="E47" s="2017"/>
      <c r="F47" s="2018"/>
      <c r="G47" s="2018"/>
      <c r="H47" s="2018"/>
      <c r="I47" s="2018"/>
      <c r="J47" s="2018"/>
      <c r="K47" s="2018"/>
      <c r="L47" s="2018"/>
      <c r="M47" s="2018"/>
      <c r="N47" s="2018"/>
      <c r="O47" s="2018"/>
      <c r="P47" s="2018"/>
      <c r="Q47" s="2018"/>
      <c r="R47" s="2018"/>
      <c r="S47" s="2018"/>
      <c r="T47" s="2018"/>
      <c r="U47" s="2018"/>
      <c r="V47" s="2018"/>
      <c r="W47" s="2018"/>
      <c r="X47" s="2018"/>
      <c r="Y47" s="2018"/>
      <c r="Z47" s="2018"/>
      <c r="AA47" s="2018"/>
      <c r="AB47" s="2018"/>
      <c r="AC47" s="2018"/>
      <c r="AD47" s="2018"/>
      <c r="AE47" s="2018"/>
      <c r="AF47" s="2018"/>
      <c r="AG47" s="2018"/>
      <c r="AH47" s="2018"/>
      <c r="AI47" s="2018"/>
      <c r="AJ47" s="2019"/>
      <c r="AK47" s="575"/>
      <c r="AL47" s="575"/>
      <c r="AM47" s="575"/>
      <c r="AN47" s="570"/>
      <c r="AO47" s="594"/>
    </row>
    <row r="48" spans="1:41" s="571" customFormat="1" ht="12.75" customHeight="1">
      <c r="A48" s="575"/>
      <c r="D48" s="575"/>
      <c r="E48" s="2039"/>
      <c r="F48" s="2040"/>
      <c r="G48" s="2040"/>
      <c r="H48" s="2040"/>
      <c r="I48" s="2040"/>
      <c r="J48" s="2040"/>
      <c r="K48" s="2040"/>
      <c r="L48" s="2040"/>
      <c r="M48" s="2040"/>
      <c r="N48" s="2040"/>
      <c r="O48" s="2040"/>
      <c r="P48" s="2040"/>
      <c r="Q48" s="2040"/>
      <c r="R48" s="2040"/>
      <c r="S48" s="2040"/>
      <c r="T48" s="2040"/>
      <c r="U48" s="2040"/>
      <c r="V48" s="2040"/>
      <c r="W48" s="2040"/>
      <c r="X48" s="2040"/>
      <c r="Y48" s="2040"/>
      <c r="Z48" s="2040"/>
      <c r="AA48" s="2040"/>
      <c r="AB48" s="2040"/>
      <c r="AC48" s="2040"/>
      <c r="AD48" s="2040"/>
      <c r="AE48" s="2040"/>
      <c r="AF48" s="2040"/>
      <c r="AG48" s="2040"/>
      <c r="AH48" s="2040"/>
      <c r="AI48" s="2040"/>
      <c r="AJ48" s="2041"/>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86" t="s">
        <v>601</v>
      </c>
      <c r="C50" s="2086"/>
      <c r="D50" s="575"/>
      <c r="E50" s="2112" t="s">
        <v>2408</v>
      </c>
      <c r="F50" s="2113"/>
      <c r="G50" s="2113"/>
      <c r="H50" s="2113"/>
      <c r="I50" s="2113"/>
      <c r="J50" s="2113"/>
      <c r="K50" s="2113"/>
      <c r="L50" s="2113"/>
      <c r="M50" s="2113"/>
      <c r="N50" s="2113"/>
      <c r="O50" s="2113"/>
      <c r="P50" s="2113"/>
      <c r="Q50" s="2113"/>
      <c r="R50" s="2113"/>
      <c r="S50" s="2113"/>
      <c r="T50" s="2113"/>
      <c r="U50" s="2113"/>
      <c r="V50" s="2113"/>
      <c r="W50" s="2113"/>
      <c r="X50" s="2113"/>
      <c r="Y50" s="2113"/>
      <c r="Z50" s="2113"/>
      <c r="AA50" s="2113"/>
      <c r="AB50" s="2113"/>
      <c r="AC50" s="2113"/>
      <c r="AD50" s="2113"/>
      <c r="AE50" s="2113"/>
      <c r="AF50" s="2113"/>
      <c r="AG50" s="2113"/>
      <c r="AH50" s="2113"/>
      <c r="AI50" s="2113"/>
      <c r="AJ50" s="2114"/>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86" t="s">
        <v>601</v>
      </c>
      <c r="C52" s="2086"/>
      <c r="D52" s="575"/>
      <c r="E52" s="2014" t="s">
        <v>2409</v>
      </c>
      <c r="F52" s="2015"/>
      <c r="G52" s="2015"/>
      <c r="H52" s="2015"/>
      <c r="I52" s="2015"/>
      <c r="J52" s="2015"/>
      <c r="K52" s="2015"/>
      <c r="L52" s="2015"/>
      <c r="M52" s="2015"/>
      <c r="N52" s="2015"/>
      <c r="O52" s="2015"/>
      <c r="P52" s="2015"/>
      <c r="Q52" s="2015"/>
      <c r="R52" s="2015"/>
      <c r="S52" s="2015"/>
      <c r="T52" s="2015"/>
      <c r="U52" s="2015"/>
      <c r="V52" s="2015"/>
      <c r="W52" s="2015"/>
      <c r="X52" s="2015"/>
      <c r="Y52" s="2015"/>
      <c r="Z52" s="2015"/>
      <c r="AA52" s="2015"/>
      <c r="AB52" s="2015"/>
      <c r="AC52" s="2015"/>
      <c r="AD52" s="2015"/>
      <c r="AE52" s="2015"/>
      <c r="AF52" s="2015"/>
      <c r="AG52" s="2015"/>
      <c r="AH52" s="2015"/>
      <c r="AI52" s="2015"/>
      <c r="AJ52" s="2016"/>
      <c r="AK52" s="575"/>
      <c r="AL52" s="575"/>
      <c r="AM52" s="575"/>
      <c r="AN52" s="570"/>
    </row>
    <row r="53" spans="1:50" s="571" customFormat="1" ht="12.75" customHeight="1">
      <c r="A53" s="575"/>
      <c r="B53" s="582"/>
      <c r="C53" s="582"/>
      <c r="D53" s="582"/>
      <c r="E53" s="2039"/>
      <c r="F53" s="2040"/>
      <c r="G53" s="2040"/>
      <c r="H53" s="2040"/>
      <c r="I53" s="2040"/>
      <c r="J53" s="2040"/>
      <c r="K53" s="2040"/>
      <c r="L53" s="2040"/>
      <c r="M53" s="2040"/>
      <c r="N53" s="2040"/>
      <c r="O53" s="2040"/>
      <c r="P53" s="2040"/>
      <c r="Q53" s="2040"/>
      <c r="R53" s="2040"/>
      <c r="S53" s="2040"/>
      <c r="T53" s="2040"/>
      <c r="U53" s="2040"/>
      <c r="V53" s="2040"/>
      <c r="W53" s="2040"/>
      <c r="X53" s="2040"/>
      <c r="Y53" s="2040"/>
      <c r="Z53" s="2040"/>
      <c r="AA53" s="2040"/>
      <c r="AB53" s="2040"/>
      <c r="AC53" s="2040"/>
      <c r="AD53" s="2040"/>
      <c r="AE53" s="2040"/>
      <c r="AF53" s="2040"/>
      <c r="AG53" s="2040"/>
      <c r="AH53" s="2040"/>
      <c r="AI53" s="2040"/>
      <c r="AJ53" s="2041"/>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1482</v>
      </c>
      <c r="AK56" s="2060">
        <f>AO36</f>
        <v>0</v>
      </c>
      <c r="AL56" s="2061"/>
      <c r="AM56" s="2062"/>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1483</v>
      </c>
      <c r="B59" s="574" t="s">
        <v>1484</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08" t="s">
        <v>1485</v>
      </c>
      <c r="AF59" s="1908"/>
      <c r="AG59" s="1908"/>
      <c r="AH59" s="1908"/>
      <c r="AI59" s="1908"/>
      <c r="AJ59" s="1908"/>
      <c r="AK59" s="1908"/>
      <c r="AL59" s="575"/>
      <c r="AM59" s="575"/>
      <c r="AN59" s="570"/>
    </row>
    <row r="60" spans="1:50" s="571" customFormat="1" ht="12.75" customHeight="1">
      <c r="A60" s="573"/>
      <c r="B60" s="574" t="s">
        <v>1987</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86" t="s">
        <v>601</v>
      </c>
      <c r="C62" s="2086"/>
      <c r="D62" s="582" t="s">
        <v>1486</v>
      </c>
      <c r="E62" s="2078" t="s">
        <v>2410</v>
      </c>
      <c r="F62" s="2079"/>
      <c r="G62" s="2079"/>
      <c r="H62" s="2079"/>
      <c r="I62" s="2079"/>
      <c r="J62" s="2079"/>
      <c r="K62" s="2079"/>
      <c r="L62" s="2079"/>
      <c r="M62" s="2079"/>
      <c r="N62" s="2079"/>
      <c r="O62" s="2079"/>
      <c r="P62" s="2079"/>
      <c r="Q62" s="2079"/>
      <c r="R62" s="2079"/>
      <c r="S62" s="2079"/>
      <c r="T62" s="2079"/>
      <c r="U62" s="2079"/>
      <c r="V62" s="2079"/>
      <c r="W62" s="2079"/>
      <c r="X62" s="2079"/>
      <c r="Y62" s="2079"/>
      <c r="Z62" s="2079"/>
      <c r="AA62" s="2079"/>
      <c r="AB62" s="2079"/>
      <c r="AC62" s="2079"/>
      <c r="AD62" s="2079"/>
      <c r="AE62" s="2079"/>
      <c r="AF62" s="2079"/>
      <c r="AG62" s="2079"/>
      <c r="AH62" s="2079"/>
      <c r="AI62" s="2079"/>
      <c r="AJ62" s="2080"/>
      <c r="AK62" s="578"/>
      <c r="AL62" s="575"/>
      <c r="AM62" s="575"/>
      <c r="AN62" s="570"/>
      <c r="AO62" s="585">
        <f>IF($B62="yes",10,0)</f>
        <v>0</v>
      </c>
    </row>
    <row r="63" spans="1:50" s="571" customFormat="1" ht="12.75" customHeight="1">
      <c r="A63" s="573"/>
      <c r="B63" s="575"/>
      <c r="C63" s="575"/>
      <c r="D63" s="586"/>
      <c r="E63" s="2081"/>
      <c r="F63" s="2082"/>
      <c r="G63" s="2082"/>
      <c r="H63" s="2082"/>
      <c r="I63" s="2082"/>
      <c r="J63" s="2082"/>
      <c r="K63" s="2082"/>
      <c r="L63" s="2082"/>
      <c r="M63" s="2082"/>
      <c r="N63" s="2082"/>
      <c r="O63" s="2082"/>
      <c r="P63" s="2082"/>
      <c r="Q63" s="2082"/>
      <c r="R63" s="2082"/>
      <c r="S63" s="2082"/>
      <c r="T63" s="2082"/>
      <c r="U63" s="2082"/>
      <c r="V63" s="2082"/>
      <c r="W63" s="2082"/>
      <c r="X63" s="2082"/>
      <c r="Y63" s="2082"/>
      <c r="Z63" s="2082"/>
      <c r="AA63" s="2082"/>
      <c r="AB63" s="2082"/>
      <c r="AC63" s="2082"/>
      <c r="AD63" s="2082"/>
      <c r="AE63" s="2082"/>
      <c r="AF63" s="2082"/>
      <c r="AG63" s="2082"/>
      <c r="AH63" s="2082"/>
      <c r="AI63" s="2082"/>
      <c r="AJ63" s="2083"/>
      <c r="AK63" s="578"/>
      <c r="AL63" s="575"/>
      <c r="AM63" s="575"/>
      <c r="AN63" s="570"/>
      <c r="AO63" s="585">
        <f>IF($B68="yes",10,0)</f>
        <v>10</v>
      </c>
    </row>
    <row r="64" spans="1:50" s="571" customFormat="1" ht="12.75" customHeight="1">
      <c r="A64" s="573"/>
      <c r="B64" s="575"/>
      <c r="C64" s="575"/>
      <c r="D64" s="586"/>
      <c r="E64" s="2081"/>
      <c r="F64" s="2082"/>
      <c r="G64" s="2082"/>
      <c r="H64" s="2082"/>
      <c r="I64" s="2082"/>
      <c r="J64" s="2082"/>
      <c r="K64" s="2082"/>
      <c r="L64" s="2082"/>
      <c r="M64" s="2082"/>
      <c r="N64" s="2082"/>
      <c r="O64" s="2082"/>
      <c r="P64" s="2082"/>
      <c r="Q64" s="2082"/>
      <c r="R64" s="2082"/>
      <c r="S64" s="2082"/>
      <c r="T64" s="2082"/>
      <c r="U64" s="2082"/>
      <c r="V64" s="2082"/>
      <c r="W64" s="2082"/>
      <c r="X64" s="2082"/>
      <c r="Y64" s="2082"/>
      <c r="Z64" s="2082"/>
      <c r="AA64" s="2082"/>
      <c r="AB64" s="2082"/>
      <c r="AC64" s="2082"/>
      <c r="AD64" s="2082"/>
      <c r="AE64" s="2082"/>
      <c r="AF64" s="2082"/>
      <c r="AG64" s="2082"/>
      <c r="AH64" s="2082"/>
      <c r="AI64" s="2082"/>
      <c r="AJ64" s="2083"/>
      <c r="AK64" s="578"/>
      <c r="AL64" s="575"/>
      <c r="AM64" s="575"/>
      <c r="AN64" s="570"/>
      <c r="AO64" s="585">
        <f>IF($B75="yes",10,0)</f>
        <v>0</v>
      </c>
    </row>
    <row r="65" spans="1:42" s="571" customFormat="1" ht="12.75" customHeight="1">
      <c r="A65" s="573"/>
      <c r="B65" s="575"/>
      <c r="C65" s="575"/>
      <c r="D65" s="586"/>
      <c r="E65" s="2081"/>
      <c r="F65" s="2082"/>
      <c r="G65" s="2082"/>
      <c r="H65" s="2082"/>
      <c r="I65" s="2082"/>
      <c r="J65" s="2082"/>
      <c r="K65" s="2082"/>
      <c r="L65" s="2082"/>
      <c r="M65" s="2082"/>
      <c r="N65" s="2082"/>
      <c r="O65" s="2082"/>
      <c r="P65" s="2082"/>
      <c r="Q65" s="2082"/>
      <c r="R65" s="2082"/>
      <c r="S65" s="2082"/>
      <c r="T65" s="2082"/>
      <c r="U65" s="2082"/>
      <c r="V65" s="2082"/>
      <c r="W65" s="2082"/>
      <c r="X65" s="2082"/>
      <c r="Y65" s="2082"/>
      <c r="Z65" s="2082"/>
      <c r="AA65" s="2082"/>
      <c r="AB65" s="2082"/>
      <c r="AC65" s="2082"/>
      <c r="AD65" s="2082"/>
      <c r="AE65" s="2082"/>
      <c r="AF65" s="2082"/>
      <c r="AG65" s="2082"/>
      <c r="AH65" s="2082"/>
      <c r="AI65" s="2082"/>
      <c r="AJ65" s="2083"/>
      <c r="AK65" s="578"/>
      <c r="AL65" s="575"/>
      <c r="AM65" s="575"/>
      <c r="AN65" s="570"/>
      <c r="AO65" s="571">
        <f>IF(SUM(AO62:AO64)&gt;10,10,(SUM(AO62:AO64)))</f>
        <v>10</v>
      </c>
      <c r="AP65" s="609" t="s">
        <v>1487</v>
      </c>
    </row>
    <row r="66" spans="1:42" s="571" customFormat="1" ht="12.75" customHeight="1">
      <c r="A66" s="573"/>
      <c r="B66" s="575"/>
      <c r="C66" s="575"/>
      <c r="D66" s="586"/>
      <c r="E66" s="2108"/>
      <c r="F66" s="2109"/>
      <c r="G66" s="2109"/>
      <c r="H66" s="2109"/>
      <c r="I66" s="2109"/>
      <c r="J66" s="2109"/>
      <c r="K66" s="2109"/>
      <c r="L66" s="2109"/>
      <c r="M66" s="2109"/>
      <c r="N66" s="2109"/>
      <c r="O66" s="2109"/>
      <c r="P66" s="2109"/>
      <c r="Q66" s="2109"/>
      <c r="R66" s="2109"/>
      <c r="S66" s="2109"/>
      <c r="T66" s="2109"/>
      <c r="U66" s="2109"/>
      <c r="V66" s="2109"/>
      <c r="W66" s="2109"/>
      <c r="X66" s="2109"/>
      <c r="Y66" s="2109"/>
      <c r="Z66" s="2109"/>
      <c r="AA66" s="2109"/>
      <c r="AB66" s="2109"/>
      <c r="AC66" s="2109"/>
      <c r="AD66" s="2109"/>
      <c r="AE66" s="2109"/>
      <c r="AF66" s="2109"/>
      <c r="AG66" s="2109"/>
      <c r="AH66" s="2109"/>
      <c r="AI66" s="2109"/>
      <c r="AJ66" s="2110"/>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86" t="s">
        <v>555</v>
      </c>
      <c r="C68" s="2086"/>
      <c r="D68" s="582" t="s">
        <v>1488</v>
      </c>
      <c r="E68" s="1008" t="s">
        <v>1983</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11" t="s">
        <v>555</v>
      </c>
      <c r="F69" s="2086"/>
      <c r="G69" s="610"/>
      <c r="H69" s="593" t="s">
        <v>1489</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06" t="s">
        <v>601</v>
      </c>
      <c r="F70" s="2107"/>
      <c r="G70" s="610"/>
      <c r="H70" s="593" t="s">
        <v>1490</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06" t="s">
        <v>601</v>
      </c>
      <c r="F71" s="2107"/>
      <c r="G71" s="610"/>
      <c r="H71" s="593" t="s">
        <v>1998</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11" t="s">
        <v>601</v>
      </c>
      <c r="F73" s="2086"/>
      <c r="G73" s="943"/>
      <c r="H73" s="1013" t="s">
        <v>1997</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86" t="s">
        <v>601</v>
      </c>
      <c r="C75" s="2086"/>
      <c r="D75" s="582" t="s">
        <v>1491</v>
      </c>
      <c r="E75" s="2014" t="s">
        <v>1999</v>
      </c>
      <c r="F75" s="2015"/>
      <c r="G75" s="2015"/>
      <c r="H75" s="2015"/>
      <c r="I75" s="2015"/>
      <c r="J75" s="2015"/>
      <c r="K75" s="2015"/>
      <c r="L75" s="2015"/>
      <c r="M75" s="2015"/>
      <c r="N75" s="2015"/>
      <c r="O75" s="2015"/>
      <c r="P75" s="2015"/>
      <c r="Q75" s="2015"/>
      <c r="R75" s="2015"/>
      <c r="S75" s="2015"/>
      <c r="T75" s="2015"/>
      <c r="U75" s="2015"/>
      <c r="V75" s="2015"/>
      <c r="W75" s="2015"/>
      <c r="X75" s="2015"/>
      <c r="Y75" s="2015"/>
      <c r="Z75" s="2015"/>
      <c r="AA75" s="2015"/>
      <c r="AB75" s="2015"/>
      <c r="AC75" s="2015"/>
      <c r="AD75" s="2015"/>
      <c r="AE75" s="2015"/>
      <c r="AF75" s="2015"/>
      <c r="AG75" s="2015"/>
      <c r="AH75" s="2015"/>
      <c r="AI75" s="2015"/>
      <c r="AJ75" s="2016"/>
      <c r="AK75" s="578"/>
      <c r="AL75" s="575"/>
      <c r="AM75" s="575"/>
      <c r="AN75" s="570"/>
    </row>
    <row r="76" spans="1:42" s="571" customFormat="1" ht="12.75" customHeight="1">
      <c r="A76" s="573"/>
      <c r="B76" s="575"/>
      <c r="C76" s="575"/>
      <c r="D76" s="585"/>
      <c r="E76" s="2039"/>
      <c r="F76" s="2040"/>
      <c r="G76" s="2040"/>
      <c r="H76" s="2040"/>
      <c r="I76" s="2040"/>
      <c r="J76" s="2040"/>
      <c r="K76" s="2040"/>
      <c r="L76" s="2040"/>
      <c r="M76" s="2040"/>
      <c r="N76" s="2040"/>
      <c r="O76" s="2040"/>
      <c r="P76" s="2040"/>
      <c r="Q76" s="2040"/>
      <c r="R76" s="2040"/>
      <c r="S76" s="2040"/>
      <c r="T76" s="2040"/>
      <c r="U76" s="2040"/>
      <c r="V76" s="2040"/>
      <c r="W76" s="2040"/>
      <c r="X76" s="2040"/>
      <c r="Y76" s="2040"/>
      <c r="Z76" s="2040"/>
      <c r="AA76" s="2040"/>
      <c r="AB76" s="2040"/>
      <c r="AC76" s="2040"/>
      <c r="AD76" s="2040"/>
      <c r="AE76" s="2040"/>
      <c r="AF76" s="2040"/>
      <c r="AG76" s="2040"/>
      <c r="AH76" s="2040"/>
      <c r="AI76" s="2040"/>
      <c r="AJ76" s="2041"/>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1492</v>
      </c>
      <c r="AK78" s="2060">
        <f>IF(AK56&gt;0,0,AO65)</f>
        <v>10</v>
      </c>
      <c r="AL78" s="2061"/>
      <c r="AM78" s="2062"/>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1493</v>
      </c>
      <c r="B81" s="574" t="s">
        <v>1494</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08" t="s">
        <v>1476</v>
      </c>
      <c r="AF81" s="1908"/>
      <c r="AG81" s="1908"/>
      <c r="AH81" s="1908"/>
      <c r="AI81" s="1908"/>
      <c r="AJ81" s="1908"/>
      <c r="AK81" s="1908"/>
      <c r="AL81" s="575"/>
      <c r="AM81" s="575"/>
      <c r="AN81" s="570"/>
    </row>
    <row r="82" spans="1:43" s="571" customFormat="1" ht="12.75" customHeight="1">
      <c r="A82" s="573"/>
      <c r="B82" s="574" t="s">
        <v>1495</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86" t="s">
        <v>601</v>
      </c>
      <c r="C84" s="2086"/>
      <c r="D84" s="582" t="s">
        <v>1486</v>
      </c>
      <c r="E84" s="2078" t="s">
        <v>1496</v>
      </c>
      <c r="F84" s="2079"/>
      <c r="G84" s="2079"/>
      <c r="H84" s="2079"/>
      <c r="I84" s="2079"/>
      <c r="J84" s="2079"/>
      <c r="K84" s="2079"/>
      <c r="L84" s="2079"/>
      <c r="M84" s="2079"/>
      <c r="N84" s="2079"/>
      <c r="O84" s="2079"/>
      <c r="P84" s="2079"/>
      <c r="Q84" s="2079"/>
      <c r="R84" s="2079"/>
      <c r="S84" s="2079"/>
      <c r="T84" s="2079"/>
      <c r="U84" s="2079"/>
      <c r="V84" s="2079"/>
      <c r="W84" s="2079"/>
      <c r="X84" s="2079"/>
      <c r="Y84" s="2079"/>
      <c r="Z84" s="2079"/>
      <c r="AA84" s="2079"/>
      <c r="AB84" s="2079"/>
      <c r="AC84" s="2079"/>
      <c r="AD84" s="2079"/>
      <c r="AE84" s="2079"/>
      <c r="AF84" s="2079"/>
      <c r="AG84" s="2079"/>
      <c r="AH84" s="2079"/>
      <c r="AI84" s="2079"/>
      <c r="AJ84" s="2080"/>
      <c r="AK84" s="578"/>
      <c r="AL84" s="575"/>
      <c r="AM84" s="575"/>
      <c r="AN84" s="570"/>
    </row>
    <row r="85" spans="1:43" s="571" customFormat="1" ht="12.75" customHeight="1">
      <c r="A85" s="573"/>
      <c r="B85" s="574"/>
      <c r="C85" s="574"/>
      <c r="D85" s="574"/>
      <c r="E85" s="2081"/>
      <c r="F85" s="2082"/>
      <c r="G85" s="2082"/>
      <c r="H85" s="2082"/>
      <c r="I85" s="2082"/>
      <c r="J85" s="2082"/>
      <c r="K85" s="2082"/>
      <c r="L85" s="2082"/>
      <c r="M85" s="2082"/>
      <c r="N85" s="2082"/>
      <c r="O85" s="2082"/>
      <c r="P85" s="2082"/>
      <c r="Q85" s="2082"/>
      <c r="R85" s="2082"/>
      <c r="S85" s="2082"/>
      <c r="T85" s="2082"/>
      <c r="U85" s="2082"/>
      <c r="V85" s="2082"/>
      <c r="W85" s="2082"/>
      <c r="X85" s="2082"/>
      <c r="Y85" s="2082"/>
      <c r="Z85" s="2082"/>
      <c r="AA85" s="2082"/>
      <c r="AB85" s="2082"/>
      <c r="AC85" s="2082"/>
      <c r="AD85" s="2082"/>
      <c r="AE85" s="2082"/>
      <c r="AF85" s="2082"/>
      <c r="AG85" s="2082"/>
      <c r="AH85" s="2082"/>
      <c r="AI85" s="2082"/>
      <c r="AJ85" s="2083"/>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74">
        <f>Application!AC739</f>
        <v>0.55752212389380529</v>
      </c>
      <c r="F87" s="2075"/>
      <c r="G87" s="2075"/>
      <c r="H87" s="2075"/>
      <c r="I87" s="612"/>
      <c r="J87" s="615" t="s">
        <v>1497</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05">
        <f>0.6-ROUNDUP(E87,2)</f>
        <v>3.9999999999999925E-2</v>
      </c>
      <c r="F88" s="1882"/>
      <c r="G88" s="1882"/>
      <c r="H88" s="1882"/>
      <c r="I88" s="612"/>
      <c r="J88" s="615" t="s">
        <v>1498</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90">
        <f>IF(E88*200&gt;20,20,E88*200)</f>
        <v>7.9999999999999849</v>
      </c>
      <c r="F89" s="2091"/>
      <c r="G89" s="2091"/>
      <c r="H89" s="2091"/>
      <c r="I89" s="612"/>
      <c r="J89" s="615" t="s">
        <v>1499</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1479</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86" t="s">
        <v>555</v>
      </c>
      <c r="C92" s="2086"/>
      <c r="D92" s="582" t="s">
        <v>1488</v>
      </c>
      <c r="E92" s="2078" t="s">
        <v>1984</v>
      </c>
      <c r="F92" s="2079"/>
      <c r="G92" s="2079"/>
      <c r="H92" s="2079"/>
      <c r="I92" s="2079"/>
      <c r="J92" s="2079"/>
      <c r="K92" s="2079"/>
      <c r="L92" s="2079"/>
      <c r="M92" s="2079"/>
      <c r="N92" s="2079"/>
      <c r="O92" s="2079"/>
      <c r="P92" s="2079"/>
      <c r="Q92" s="2079"/>
      <c r="R92" s="2079"/>
      <c r="S92" s="2079"/>
      <c r="T92" s="2079"/>
      <c r="U92" s="2079"/>
      <c r="V92" s="2079"/>
      <c r="W92" s="2079"/>
      <c r="X92" s="2079"/>
      <c r="Y92" s="2079"/>
      <c r="Z92" s="2079"/>
      <c r="AA92" s="2079"/>
      <c r="AB92" s="2079"/>
      <c r="AC92" s="2079"/>
      <c r="AD92" s="2079"/>
      <c r="AE92" s="2079"/>
      <c r="AF92" s="2079"/>
      <c r="AG92" s="2079"/>
      <c r="AH92" s="2079"/>
      <c r="AI92" s="2079"/>
      <c r="AJ92" s="2080"/>
      <c r="AK92" s="578"/>
      <c r="AL92" s="575"/>
      <c r="AM92" s="575"/>
      <c r="AN92" s="570"/>
    </row>
    <row r="93" spans="1:43" s="571" customFormat="1" ht="12.75" customHeight="1">
      <c r="A93" s="573"/>
      <c r="B93" s="574"/>
      <c r="C93" s="574"/>
      <c r="D93" s="574"/>
      <c r="E93" s="2081"/>
      <c r="F93" s="2082"/>
      <c r="G93" s="2082"/>
      <c r="H93" s="2082"/>
      <c r="I93" s="2082"/>
      <c r="J93" s="2082"/>
      <c r="K93" s="2082"/>
      <c r="L93" s="2082"/>
      <c r="M93" s="2082"/>
      <c r="N93" s="2082"/>
      <c r="O93" s="2082"/>
      <c r="P93" s="2082"/>
      <c r="Q93" s="2082"/>
      <c r="R93" s="2082"/>
      <c r="S93" s="2082"/>
      <c r="T93" s="2082"/>
      <c r="U93" s="2082"/>
      <c r="V93" s="2082"/>
      <c r="W93" s="2082"/>
      <c r="X93" s="2082"/>
      <c r="Y93" s="2082"/>
      <c r="Z93" s="2082"/>
      <c r="AA93" s="2082"/>
      <c r="AB93" s="2082"/>
      <c r="AC93" s="2082"/>
      <c r="AD93" s="2082"/>
      <c r="AE93" s="2082"/>
      <c r="AF93" s="2082"/>
      <c r="AG93" s="2082"/>
      <c r="AH93" s="2082"/>
      <c r="AI93" s="2082"/>
      <c r="AJ93" s="2083"/>
      <c r="AK93" s="578"/>
      <c r="AL93" s="575"/>
      <c r="AM93" s="575"/>
      <c r="AN93" s="570"/>
    </row>
    <row r="94" spans="1:43" s="571" customFormat="1" ht="12.75" customHeight="1">
      <c r="A94" s="573"/>
      <c r="B94" s="574"/>
      <c r="C94" s="574"/>
      <c r="D94" s="574"/>
      <c r="E94" s="2081"/>
      <c r="F94" s="2082"/>
      <c r="G94" s="2082"/>
      <c r="H94" s="2082"/>
      <c r="I94" s="2082"/>
      <c r="J94" s="2082"/>
      <c r="K94" s="2082"/>
      <c r="L94" s="2082"/>
      <c r="M94" s="2082"/>
      <c r="N94" s="2082"/>
      <c r="O94" s="2082"/>
      <c r="P94" s="2082"/>
      <c r="Q94" s="2082"/>
      <c r="R94" s="2082"/>
      <c r="S94" s="2082"/>
      <c r="T94" s="2082"/>
      <c r="U94" s="2082"/>
      <c r="V94" s="2082"/>
      <c r="W94" s="2082"/>
      <c r="X94" s="2082"/>
      <c r="Y94" s="2082"/>
      <c r="Z94" s="2082"/>
      <c r="AA94" s="2082"/>
      <c r="AB94" s="2082"/>
      <c r="AC94" s="2082"/>
      <c r="AD94" s="2082"/>
      <c r="AE94" s="2082"/>
      <c r="AF94" s="2082"/>
      <c r="AG94" s="2082"/>
      <c r="AH94" s="2082"/>
      <c r="AI94" s="2082"/>
      <c r="AJ94" s="2083"/>
      <c r="AK94" s="578"/>
      <c r="AL94" s="575"/>
      <c r="AM94" s="575"/>
      <c r="AN94" s="570"/>
    </row>
    <row r="95" spans="1:43" s="571" customFormat="1" ht="12.75" customHeight="1">
      <c r="A95" s="573"/>
      <c r="B95" s="574"/>
      <c r="C95" s="574"/>
      <c r="D95" s="574"/>
      <c r="E95" s="2081"/>
      <c r="F95" s="2082"/>
      <c r="G95" s="2082"/>
      <c r="H95" s="2082"/>
      <c r="I95" s="2082"/>
      <c r="J95" s="2082"/>
      <c r="K95" s="2082"/>
      <c r="L95" s="2082"/>
      <c r="M95" s="2082"/>
      <c r="N95" s="2082"/>
      <c r="O95" s="2082"/>
      <c r="P95" s="2082"/>
      <c r="Q95" s="2082"/>
      <c r="R95" s="2082"/>
      <c r="S95" s="2082"/>
      <c r="T95" s="2082"/>
      <c r="U95" s="2082"/>
      <c r="V95" s="2082"/>
      <c r="W95" s="2082"/>
      <c r="X95" s="2082"/>
      <c r="Y95" s="2082"/>
      <c r="Z95" s="2082"/>
      <c r="AA95" s="2082"/>
      <c r="AB95" s="2082"/>
      <c r="AC95" s="2082"/>
      <c r="AD95" s="2082"/>
      <c r="AE95" s="2082"/>
      <c r="AF95" s="2082"/>
      <c r="AG95" s="2082"/>
      <c r="AH95" s="2082"/>
      <c r="AI95" s="2082"/>
      <c r="AJ95" s="2083"/>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74">
        <f>Application!AC739</f>
        <v>0.55752212389380529</v>
      </c>
      <c r="F97" s="2075"/>
      <c r="G97" s="2075"/>
      <c r="H97" s="2075"/>
      <c r="I97" s="612"/>
      <c r="J97" s="615" t="s">
        <v>1497</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74">
        <f ca="1">SUMIF(Application!AC714:AG738,0.2,Application!G714:J738)/Application!G739+SUMIF(Application!AC714:AG738,0.25,Application!G714:J738)/Application!G739+SUMIF(Application!AC714:AG738,0.3,Application!G714:J738)/Application!G739</f>
        <v>0.10619469026548672</v>
      </c>
      <c r="F98" s="2075"/>
      <c r="G98" s="2075"/>
      <c r="H98" s="2075"/>
      <c r="I98" s="612"/>
      <c r="J98" s="615" t="s">
        <v>1500</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74">
        <f ca="1">SUMIF(Application!AC714:AG738,0.35,Application!G714:J738)/Application!G739+SUMIF(Application!AC714:AG738,0.4,Application!G714:J738)/Application!G739+SUMIF(Application!AC714:AG738,0.45,Application!G714:J738)/Application!G739+SUMIF(Application!AC714:AG738,0.5,Application!G714:J738)/Application!G739</f>
        <v>0.10619469026548672</v>
      </c>
      <c r="F99" s="2075"/>
      <c r="G99" s="2075"/>
      <c r="H99" s="2075"/>
      <c r="I99" s="612"/>
      <c r="J99" s="615" t="s">
        <v>1501</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72">
        <f ca="1">IF(AND(E97&lt;=0.6,E98&gt;=0.1,OR(E99&gt;=0.1,E98&gt;=0.2)),20,0)</f>
        <v>20</v>
      </c>
      <c r="F100" s="2073"/>
      <c r="G100" s="2073"/>
      <c r="H100" s="2073"/>
      <c r="I100" s="588"/>
      <c r="J100" s="622" t="s">
        <v>1499</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1479</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1502</v>
      </c>
      <c r="AK103" s="2060">
        <f ca="1">MAX(AP89,AP100)</f>
        <v>20</v>
      </c>
      <c r="AL103" s="2061"/>
      <c r="AM103" s="2062"/>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1503</v>
      </c>
      <c r="B106" s="574" t="s">
        <v>1504</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08" t="s">
        <v>1485</v>
      </c>
      <c r="AF106" s="1908"/>
      <c r="AG106" s="1908"/>
      <c r="AH106" s="1908"/>
      <c r="AI106" s="1908"/>
      <c r="AJ106" s="1908"/>
      <c r="AK106" s="1908"/>
      <c r="AL106" s="575"/>
      <c r="AM106" s="575"/>
      <c r="AN106" s="570"/>
      <c r="AO106" s="571" t="str">
        <f>Application!B714</f>
        <v>1 Bedroom</v>
      </c>
      <c r="AQ106" s="571">
        <f>Application!O714</f>
        <v>775</v>
      </c>
    </row>
    <row r="107" spans="1:49" s="571" customFormat="1" ht="12.75" customHeight="1">
      <c r="A107" s="575"/>
      <c r="B107" s="574" t="s">
        <v>1495</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1292</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1551</v>
      </c>
    </row>
    <row r="109" spans="1:49" s="571" customFormat="1" ht="12.75" customHeight="1">
      <c r="A109" s="575"/>
      <c r="B109" s="2086" t="s">
        <v>555</v>
      </c>
      <c r="C109" s="2086"/>
      <c r="D109" s="582" t="s">
        <v>1486</v>
      </c>
      <c r="E109" s="2078" t="s">
        <v>2119</v>
      </c>
      <c r="F109" s="2079"/>
      <c r="G109" s="2079"/>
      <c r="H109" s="2079"/>
      <c r="I109" s="2079"/>
      <c r="J109" s="2079"/>
      <c r="K109" s="2079"/>
      <c r="L109" s="2079"/>
      <c r="M109" s="2079"/>
      <c r="N109" s="2079"/>
      <c r="O109" s="2079"/>
      <c r="P109" s="2079"/>
      <c r="Q109" s="2079"/>
      <c r="R109" s="2079"/>
      <c r="S109" s="2079"/>
      <c r="T109" s="2079"/>
      <c r="U109" s="2079"/>
      <c r="V109" s="2079"/>
      <c r="W109" s="2079"/>
      <c r="X109" s="2079"/>
      <c r="Y109" s="2079"/>
      <c r="Z109" s="2079"/>
      <c r="AA109" s="2079"/>
      <c r="AB109" s="2079"/>
      <c r="AC109" s="2079"/>
      <c r="AD109" s="2079"/>
      <c r="AE109" s="2079"/>
      <c r="AF109" s="2079"/>
      <c r="AG109" s="2079"/>
      <c r="AH109" s="2079"/>
      <c r="AI109" s="2079"/>
      <c r="AJ109" s="2080"/>
      <c r="AK109" s="575"/>
      <c r="AL109" s="575"/>
      <c r="AM109" s="575"/>
      <c r="AN109" s="570"/>
      <c r="AO109" s="571" t="str">
        <f>Application!B717</f>
        <v>2 Bedrooms</v>
      </c>
      <c r="AQ109" s="571">
        <f>Application!O717</f>
        <v>930</v>
      </c>
      <c r="AU109" s="571" t="s">
        <v>2101</v>
      </c>
      <c r="AV109" s="630" t="s">
        <v>2102</v>
      </c>
      <c r="AW109" s="571" t="s">
        <v>2103</v>
      </c>
    </row>
    <row r="110" spans="1:49" s="571" customFormat="1" ht="12.75" customHeight="1">
      <c r="A110" s="575"/>
      <c r="B110" s="574"/>
      <c r="C110" s="574"/>
      <c r="D110" s="574"/>
      <c r="E110" s="2081"/>
      <c r="F110" s="2082"/>
      <c r="G110" s="2082"/>
      <c r="H110" s="2082"/>
      <c r="I110" s="2082"/>
      <c r="J110" s="2082"/>
      <c r="K110" s="2082"/>
      <c r="L110" s="2082"/>
      <c r="M110" s="2082"/>
      <c r="N110" s="2082"/>
      <c r="O110" s="2082"/>
      <c r="P110" s="2082"/>
      <c r="Q110" s="2082"/>
      <c r="R110" s="2082"/>
      <c r="S110" s="2082"/>
      <c r="T110" s="2082"/>
      <c r="U110" s="2082"/>
      <c r="V110" s="2082"/>
      <c r="W110" s="2082"/>
      <c r="X110" s="2082"/>
      <c r="Y110" s="2082"/>
      <c r="Z110" s="2082"/>
      <c r="AA110" s="2082"/>
      <c r="AB110" s="2082"/>
      <c r="AC110" s="2082"/>
      <c r="AD110" s="2082"/>
      <c r="AE110" s="2082"/>
      <c r="AF110" s="2082"/>
      <c r="AG110" s="2082"/>
      <c r="AH110" s="2082"/>
      <c r="AI110" s="2082"/>
      <c r="AJ110" s="2083"/>
      <c r="AK110" s="575"/>
      <c r="AL110" s="575"/>
      <c r="AM110" s="575"/>
      <c r="AN110" s="570"/>
      <c r="AO110" s="571" t="str">
        <f>Application!B718</f>
        <v>2 Bedrooms</v>
      </c>
      <c r="AQ110" s="571">
        <f>Application!O718</f>
        <v>1551</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81"/>
      <c r="F111" s="2082"/>
      <c r="G111" s="2082"/>
      <c r="H111" s="2082"/>
      <c r="I111" s="2082"/>
      <c r="J111" s="2082"/>
      <c r="K111" s="2082"/>
      <c r="L111" s="2082"/>
      <c r="M111" s="2082"/>
      <c r="N111" s="2082"/>
      <c r="O111" s="2082"/>
      <c r="P111" s="2082"/>
      <c r="Q111" s="2082"/>
      <c r="R111" s="2082"/>
      <c r="S111" s="2082"/>
      <c r="T111" s="2082"/>
      <c r="U111" s="2082"/>
      <c r="V111" s="2082"/>
      <c r="W111" s="2082"/>
      <c r="X111" s="2082"/>
      <c r="Y111" s="2082"/>
      <c r="Z111" s="2082"/>
      <c r="AA111" s="2082"/>
      <c r="AB111" s="2082"/>
      <c r="AC111" s="2082"/>
      <c r="AD111" s="2082"/>
      <c r="AE111" s="2082"/>
      <c r="AF111" s="2082"/>
      <c r="AG111" s="2082"/>
      <c r="AH111" s="2082"/>
      <c r="AI111" s="2082"/>
      <c r="AJ111" s="2083"/>
      <c r="AK111" s="575"/>
      <c r="AL111" s="575"/>
      <c r="AM111" s="575"/>
      <c r="AN111" s="570"/>
      <c r="AO111" s="571" t="str">
        <f>Application!B719</f>
        <v>2 Bedrooms</v>
      </c>
      <c r="AQ111" s="571">
        <f>Application!O719</f>
        <v>1861</v>
      </c>
      <c r="AU111" s="892" t="str">
        <f>J118</f>
        <v>1-bedroom</v>
      </c>
      <c r="AV111" s="571">
        <f t="array" ref="AV111">SUM(IF(Application!B714:F738="1 Bedroom",Application!G714:J738))</f>
        <v>105</v>
      </c>
      <c r="AW111" s="1048">
        <f>AV111/AV116</f>
        <v>0.46460176991150443</v>
      </c>
    </row>
    <row r="112" spans="1:49" s="571" customFormat="1" ht="12.75" customHeight="1">
      <c r="A112" s="575"/>
      <c r="B112" s="574"/>
      <c r="C112" s="574"/>
      <c r="D112" s="574"/>
      <c r="E112" s="2081"/>
      <c r="F112" s="2082"/>
      <c r="G112" s="2082"/>
      <c r="H112" s="2082"/>
      <c r="I112" s="2082"/>
      <c r="J112" s="2082"/>
      <c r="K112" s="2082"/>
      <c r="L112" s="2082"/>
      <c r="M112" s="2082"/>
      <c r="N112" s="2082"/>
      <c r="O112" s="2082"/>
      <c r="P112" s="2082"/>
      <c r="Q112" s="2082"/>
      <c r="R112" s="2082"/>
      <c r="S112" s="2082"/>
      <c r="T112" s="2082"/>
      <c r="U112" s="2082"/>
      <c r="V112" s="2082"/>
      <c r="W112" s="2082"/>
      <c r="X112" s="2082"/>
      <c r="Y112" s="2082"/>
      <c r="Z112" s="2082"/>
      <c r="AA112" s="2082"/>
      <c r="AB112" s="2082"/>
      <c r="AC112" s="2082"/>
      <c r="AD112" s="2082"/>
      <c r="AE112" s="2082"/>
      <c r="AF112" s="2082"/>
      <c r="AG112" s="2082"/>
      <c r="AH112" s="2082"/>
      <c r="AI112" s="2082"/>
      <c r="AJ112" s="2083"/>
      <c r="AK112" s="575"/>
      <c r="AL112" s="575"/>
      <c r="AM112" s="575"/>
      <c r="AN112" s="570"/>
      <c r="AO112" s="571" t="str">
        <f>Application!B720</f>
        <v>3 Bedrooms</v>
      </c>
      <c r="AQ112" s="571">
        <f>Application!O720</f>
        <v>1075</v>
      </c>
      <c r="AU112" s="892" t="str">
        <f>O118</f>
        <v>2-bedroom</v>
      </c>
      <c r="AV112" s="571">
        <f t="array" ref="AV112">SUM(IF(Application!B714:F738="2 Bedrooms",Application!G714:J738))</f>
        <v>61</v>
      </c>
      <c r="AW112" s="1048">
        <f>AV112/AV116</f>
        <v>0.26991150442477874</v>
      </c>
    </row>
    <row r="113" spans="1:52" s="571" customFormat="1" ht="12.75" customHeight="1">
      <c r="A113" s="575"/>
      <c r="B113" s="574"/>
      <c r="C113" s="574"/>
      <c r="D113" s="574"/>
      <c r="E113" s="2081"/>
      <c r="F113" s="2082"/>
      <c r="G113" s="2082"/>
      <c r="H113" s="2082"/>
      <c r="I113" s="2082"/>
      <c r="J113" s="2082"/>
      <c r="K113" s="2082"/>
      <c r="L113" s="2082"/>
      <c r="M113" s="2082"/>
      <c r="N113" s="2082"/>
      <c r="O113" s="2082"/>
      <c r="P113" s="2082"/>
      <c r="Q113" s="2082"/>
      <c r="R113" s="2082"/>
      <c r="S113" s="2082"/>
      <c r="T113" s="2082"/>
      <c r="U113" s="2082"/>
      <c r="V113" s="2082"/>
      <c r="W113" s="2082"/>
      <c r="X113" s="2082"/>
      <c r="Y113" s="2082"/>
      <c r="Z113" s="2082"/>
      <c r="AA113" s="2082"/>
      <c r="AB113" s="2082"/>
      <c r="AC113" s="2082"/>
      <c r="AD113" s="2082"/>
      <c r="AE113" s="2082"/>
      <c r="AF113" s="2082"/>
      <c r="AG113" s="2082"/>
      <c r="AH113" s="2082"/>
      <c r="AI113" s="2082"/>
      <c r="AJ113" s="2083"/>
      <c r="AK113" s="575"/>
      <c r="AL113" s="575"/>
      <c r="AM113" s="575"/>
      <c r="AN113" s="570"/>
      <c r="AO113" s="571" t="str">
        <f>Application!B721</f>
        <v>3 Bedrooms</v>
      </c>
      <c r="AQ113" s="571">
        <f>Application!O721</f>
        <v>1791</v>
      </c>
      <c r="AU113" s="892" t="str">
        <f>T118</f>
        <v>3-bedroom</v>
      </c>
      <c r="AV113" s="571">
        <f t="array" ref="AV113">SUM(IF(Application!B714:F738="3 Bedrooms",Application!G714:J738))</f>
        <v>60</v>
      </c>
      <c r="AW113" s="1048">
        <f>AV113/AV116</f>
        <v>0.26548672566371684</v>
      </c>
    </row>
    <row r="114" spans="1:52" s="571" customFormat="1" ht="12.75" customHeight="1">
      <c r="A114" s="575"/>
      <c r="B114" s="574"/>
      <c r="C114" s="574"/>
      <c r="D114" s="574"/>
      <c r="E114" s="2081"/>
      <c r="F114" s="2082"/>
      <c r="G114" s="2082"/>
      <c r="H114" s="2082"/>
      <c r="I114" s="2082"/>
      <c r="J114" s="2082"/>
      <c r="K114" s="2082"/>
      <c r="L114" s="2082"/>
      <c r="M114" s="2082"/>
      <c r="N114" s="2082"/>
      <c r="O114" s="2082"/>
      <c r="P114" s="2082"/>
      <c r="Q114" s="2082"/>
      <c r="R114" s="2082"/>
      <c r="S114" s="2082"/>
      <c r="T114" s="2082"/>
      <c r="U114" s="2082"/>
      <c r="V114" s="2082"/>
      <c r="W114" s="2082"/>
      <c r="X114" s="2082"/>
      <c r="Y114" s="2082"/>
      <c r="Z114" s="2082"/>
      <c r="AA114" s="2082"/>
      <c r="AB114" s="2082"/>
      <c r="AC114" s="2082"/>
      <c r="AD114" s="2082"/>
      <c r="AE114" s="2082"/>
      <c r="AF114" s="2082"/>
      <c r="AG114" s="2082"/>
      <c r="AH114" s="2082"/>
      <c r="AI114" s="2082"/>
      <c r="AJ114" s="2083"/>
      <c r="AK114" s="575"/>
      <c r="AL114" s="575"/>
      <c r="AM114" s="575"/>
      <c r="AN114" s="570"/>
      <c r="AO114" s="571" t="str">
        <f>Application!B722</f>
        <v>3 Bedrooms</v>
      </c>
      <c r="AQ114" s="571">
        <f>Application!O722</f>
        <v>2150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81"/>
      <c r="F115" s="2082"/>
      <c r="G115" s="2082"/>
      <c r="H115" s="2082"/>
      <c r="I115" s="2082"/>
      <c r="J115" s="2082"/>
      <c r="K115" s="2082"/>
      <c r="L115" s="2082"/>
      <c r="M115" s="2082"/>
      <c r="N115" s="2082"/>
      <c r="O115" s="2082"/>
      <c r="P115" s="2082"/>
      <c r="Q115" s="2082"/>
      <c r="R115" s="2082"/>
      <c r="S115" s="2082"/>
      <c r="T115" s="2082"/>
      <c r="U115" s="2082"/>
      <c r="V115" s="2082"/>
      <c r="W115" s="2082"/>
      <c r="X115" s="2082"/>
      <c r="Y115" s="2082"/>
      <c r="Z115" s="2082"/>
      <c r="AA115" s="2082"/>
      <c r="AB115" s="2082"/>
      <c r="AC115" s="2082"/>
      <c r="AD115" s="2082"/>
      <c r="AE115" s="2082"/>
      <c r="AF115" s="2082"/>
      <c r="AG115" s="2082"/>
      <c r="AH115" s="2082"/>
      <c r="AI115" s="2082"/>
      <c r="AJ115" s="2083"/>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81"/>
      <c r="F116" s="2082"/>
      <c r="G116" s="2082"/>
      <c r="H116" s="2082"/>
      <c r="I116" s="2082"/>
      <c r="J116" s="2082"/>
      <c r="K116" s="2082"/>
      <c r="L116" s="2082"/>
      <c r="M116" s="2082"/>
      <c r="N116" s="2082"/>
      <c r="O116" s="2082"/>
      <c r="P116" s="2082"/>
      <c r="Q116" s="2082"/>
      <c r="R116" s="2082"/>
      <c r="S116" s="2082"/>
      <c r="T116" s="2082"/>
      <c r="U116" s="2082"/>
      <c r="V116" s="2082"/>
      <c r="W116" s="2082"/>
      <c r="X116" s="2082"/>
      <c r="Y116" s="2082"/>
      <c r="Z116" s="2082"/>
      <c r="AA116" s="2082"/>
      <c r="AB116" s="2082"/>
      <c r="AC116" s="2082"/>
      <c r="AD116" s="2082"/>
      <c r="AE116" s="2082"/>
      <c r="AF116" s="2082"/>
      <c r="AG116" s="2082"/>
      <c r="AH116" s="2082"/>
      <c r="AI116" s="2082"/>
      <c r="AJ116" s="2083"/>
      <c r="AK116" s="575"/>
      <c r="AL116" s="575"/>
      <c r="AM116" s="575"/>
      <c r="AN116" s="570"/>
      <c r="AO116" s="571">
        <f>Application!B724</f>
        <v>0</v>
      </c>
      <c r="AQ116" s="571">
        <f>Application!O724</f>
        <v>0</v>
      </c>
      <c r="AV116" s="571">
        <f>SUM(AV110:AV115)</f>
        <v>226</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2074" t="s">
        <v>1764</v>
      </c>
      <c r="F118" s="2075"/>
      <c r="G118" s="2075"/>
      <c r="H118" s="2075"/>
      <c r="I118" s="612"/>
      <c r="J118" s="2075" t="s">
        <v>1809</v>
      </c>
      <c r="K118" s="2075"/>
      <c r="L118" s="2075"/>
      <c r="M118" s="2075"/>
      <c r="N118" s="612"/>
      <c r="O118" s="2075" t="s">
        <v>1810</v>
      </c>
      <c r="P118" s="2075"/>
      <c r="Q118" s="2075"/>
      <c r="R118" s="2075"/>
      <c r="S118" s="612"/>
      <c r="T118" s="2075" t="s">
        <v>1505</v>
      </c>
      <c r="U118" s="2075"/>
      <c r="V118" s="2075"/>
      <c r="W118" s="2075"/>
      <c r="X118" s="612"/>
      <c r="Y118" s="2075" t="s">
        <v>1811</v>
      </c>
      <c r="Z118" s="2075"/>
      <c r="AA118" s="2075"/>
      <c r="AB118" s="2075"/>
      <c r="AC118" s="612"/>
      <c r="AD118" s="2075" t="s">
        <v>1812</v>
      </c>
      <c r="AE118" s="2075"/>
      <c r="AF118" s="2075"/>
      <c r="AG118" s="2075"/>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1813</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76"/>
      <c r="F121" s="2077"/>
      <c r="G121" s="2077"/>
      <c r="H121" s="2077"/>
      <c r="I121" s="900"/>
      <c r="J121" s="2077">
        <v>2596</v>
      </c>
      <c r="K121" s="2077"/>
      <c r="L121" s="2077"/>
      <c r="M121" s="2077"/>
      <c r="N121" s="900"/>
      <c r="O121" s="2077">
        <v>3128</v>
      </c>
      <c r="P121" s="2077"/>
      <c r="Q121" s="2077"/>
      <c r="R121" s="2077"/>
      <c r="S121" s="900"/>
      <c r="T121" s="2077">
        <v>3930</v>
      </c>
      <c r="U121" s="2077"/>
      <c r="V121" s="2077"/>
      <c r="W121" s="2077"/>
      <c r="X121" s="900"/>
      <c r="Y121" s="2077"/>
      <c r="Z121" s="2077"/>
      <c r="AA121" s="2077"/>
      <c r="AB121" s="2077"/>
      <c r="AC121" s="900"/>
      <c r="AD121" s="2077"/>
      <c r="AE121" s="2077"/>
      <c r="AF121" s="2077"/>
      <c r="AG121" s="2077"/>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2105</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84">
        <f>Application!DX649</f>
        <v>0</v>
      </c>
      <c r="F124" s="2085"/>
      <c r="G124" s="2085"/>
      <c r="H124" s="2085"/>
      <c r="I124" s="900"/>
      <c r="J124" s="2085">
        <f>Application!EC649</f>
        <v>1442.5714285714287</v>
      </c>
      <c r="K124" s="2085"/>
      <c r="L124" s="2085"/>
      <c r="M124" s="2085"/>
      <c r="N124" s="900"/>
      <c r="O124" s="2085">
        <f>Application!EH649</f>
        <v>1718.5901639344261</v>
      </c>
      <c r="P124" s="2085"/>
      <c r="Q124" s="2085"/>
      <c r="R124" s="2085"/>
      <c r="S124" s="904"/>
      <c r="T124" s="2085">
        <f>Application!EM649</f>
        <v>2006.6</v>
      </c>
      <c r="U124" s="2085"/>
      <c r="V124" s="2085"/>
      <c r="W124" s="2085"/>
      <c r="X124" s="904"/>
      <c r="Y124" s="2085">
        <f>Application!ER649</f>
        <v>0</v>
      </c>
      <c r="Z124" s="2085"/>
      <c r="AA124" s="2085"/>
      <c r="AB124" s="2085"/>
      <c r="AC124" s="904"/>
      <c r="AD124" s="2085">
        <f>Application!EW649</f>
        <v>0</v>
      </c>
      <c r="AE124" s="2085"/>
      <c r="AF124" s="2085"/>
      <c r="AG124" s="2085"/>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2106</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81" t="e">
        <f>(E121-E124)/E121</f>
        <v>#DIV/0!</v>
      </c>
      <c r="F127" s="1882"/>
      <c r="G127" s="1882"/>
      <c r="H127" s="1883"/>
      <c r="I127" s="612"/>
      <c r="J127" s="1881">
        <f>(J121-J124)/J121</f>
        <v>0.44430992736077479</v>
      </c>
      <c r="K127" s="1882"/>
      <c r="L127" s="1882"/>
      <c r="M127" s="1883"/>
      <c r="N127" s="612"/>
      <c r="O127" s="1881">
        <f>(O121-O124)/O121</f>
        <v>0.45057859209257478</v>
      </c>
      <c r="P127" s="1882"/>
      <c r="Q127" s="1882"/>
      <c r="R127" s="1883"/>
      <c r="S127" s="612"/>
      <c r="T127" s="1881">
        <f>(T121-T124)/T121</f>
        <v>0.48941475826972014</v>
      </c>
      <c r="U127" s="1882"/>
      <c r="V127" s="1882"/>
      <c r="W127" s="1883"/>
      <c r="X127" s="612"/>
      <c r="Y127" s="1881" t="e">
        <f>(Y121-Y124)/Y121</f>
        <v>#DIV/0!</v>
      </c>
      <c r="Z127" s="1882"/>
      <c r="AA127" s="1882"/>
      <c r="AB127" s="1883"/>
      <c r="AC127" s="612"/>
      <c r="AD127" s="1881" t="e">
        <f>(AD121-AD124)/AD121</f>
        <v>#DIV/0!</v>
      </c>
      <c r="AE127" s="1882"/>
      <c r="AF127" s="1882"/>
      <c r="AG127" s="1883"/>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2107</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87" t="e">
        <f>IF(((E127-0.1)*AW110)&gt;0,((E127-0.1)*AW110),0)</f>
        <v>#DIV/0!</v>
      </c>
      <c r="F130" s="2088"/>
      <c r="G130" s="2088"/>
      <c r="H130" s="2089"/>
      <c r="I130" s="612"/>
      <c r="J130" s="2087">
        <f>IF(((J127-0.1)*AW111)&gt;0,((J127-0.1)*AW111),0)</f>
        <v>0.15996700164991751</v>
      </c>
      <c r="K130" s="2088"/>
      <c r="L130" s="2088"/>
      <c r="M130" s="2089"/>
      <c r="N130" s="612"/>
      <c r="O130" s="2087">
        <f>IF(((O127-0.1)*AW112)&gt;0,((O127-0.1)*AW112),0)</f>
        <v>9.4625195210827698E-2</v>
      </c>
      <c r="P130" s="2088"/>
      <c r="Q130" s="2088"/>
      <c r="R130" s="2089"/>
      <c r="S130" s="612"/>
      <c r="T130" s="2087">
        <f>IF(((T127-0.1)*AW113)&gt;0,((T127-0.1)*AW113),0)</f>
        <v>0.10338444909815581</v>
      </c>
      <c r="U130" s="2088"/>
      <c r="V130" s="2088"/>
      <c r="W130" s="2089"/>
      <c r="X130" s="612"/>
      <c r="Y130" s="2087" t="e">
        <f>IF(((Y127-0.1)*AW114)&gt;0,((Y127-0.1)*AW114),0)</f>
        <v>#DIV/0!</v>
      </c>
      <c r="Z130" s="2088"/>
      <c r="AA130" s="2088"/>
      <c r="AB130" s="2089"/>
      <c r="AC130" s="612"/>
      <c r="AD130" s="2087" t="e">
        <f>IF(((AD127-0.1)*AW115)&gt;0,((AD127-0.1)*AW115),0)</f>
        <v>#DIV/0!</v>
      </c>
      <c r="AE130" s="2088"/>
      <c r="AF130" s="2088"/>
      <c r="AG130" s="2089"/>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81">
        <f>ROUNDDOWN(SUMIF(E130:AG130,"&gt;0"),2)</f>
        <v>0.35</v>
      </c>
      <c r="F132" s="1882"/>
      <c r="G132" s="1882"/>
      <c r="H132" s="1883"/>
      <c r="I132" s="612"/>
      <c r="J132" s="615" t="s">
        <v>2108</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60">
        <f>IF((E132*100)&gt;10,10,E132*100)</f>
        <v>10</v>
      </c>
      <c r="F133" s="2061"/>
      <c r="G133" s="2061"/>
      <c r="H133" s="2062"/>
      <c r="I133" s="612"/>
      <c r="J133" s="615" t="s">
        <v>1499</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1506</v>
      </c>
      <c r="AK137" s="2060">
        <f>E133</f>
        <v>10</v>
      </c>
      <c r="AL137" s="2061"/>
      <c r="AM137" s="2062"/>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1507</v>
      </c>
      <c r="AE140" s="1908" t="s">
        <v>1485</v>
      </c>
      <c r="AF140" s="1908"/>
      <c r="AG140" s="1908"/>
      <c r="AH140" s="1908"/>
      <c r="AI140" s="1908"/>
      <c r="AJ140" s="1908"/>
      <c r="AK140" s="1908"/>
      <c r="AL140" s="626"/>
      <c r="AN140" s="627"/>
      <c r="AO140" s="571"/>
    </row>
    <row r="141" spans="1:52" s="574" customFormat="1" ht="12.9" customHeight="1">
      <c r="A141" s="573"/>
      <c r="AE141" s="626"/>
      <c r="AF141" s="626"/>
      <c r="AG141" s="626"/>
      <c r="AH141" s="626"/>
      <c r="AI141" s="626"/>
      <c r="AJ141" s="626"/>
      <c r="AK141" s="626"/>
      <c r="AL141" s="626"/>
      <c r="AN141" s="627"/>
    </row>
    <row r="142" spans="1:52" s="571" customFormat="1" ht="12.75" customHeight="1">
      <c r="A142" s="573"/>
      <c r="B142" s="573" t="s">
        <v>1508</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75" t="s">
        <v>1509</v>
      </c>
      <c r="AG142" s="1975"/>
      <c r="AH142" s="1975"/>
      <c r="AI142" s="1975"/>
      <c r="AJ142" s="1975"/>
      <c r="AK142" s="1975"/>
      <c r="AL142" s="1975"/>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65" t="s">
        <v>2662</v>
      </c>
      <c r="C144" s="2065"/>
      <c r="D144" s="2065"/>
      <c r="E144" s="2065"/>
      <c r="F144" s="2065"/>
      <c r="G144" s="2065"/>
      <c r="H144" s="2065"/>
      <c r="I144" s="2065"/>
      <c r="J144" s="2065"/>
      <c r="K144" s="2065"/>
      <c r="L144" s="2065"/>
      <c r="M144" s="2065"/>
      <c r="N144" s="2065"/>
      <c r="O144" s="2065"/>
      <c r="P144" s="2065"/>
      <c r="Q144" s="2065"/>
      <c r="R144" s="2065"/>
      <c r="S144" s="2065"/>
      <c r="T144" s="2065"/>
      <c r="U144" s="2065"/>
      <c r="V144" s="2065"/>
      <c r="W144" s="2065"/>
      <c r="X144" s="2065"/>
      <c r="Y144" s="2065"/>
      <c r="Z144" s="2065"/>
      <c r="AA144" s="2065"/>
      <c r="AB144" s="2065"/>
      <c r="AC144" s="2065"/>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1510</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1511</v>
      </c>
      <c r="AP146" s="524">
        <v>5</v>
      </c>
    </row>
    <row r="147" spans="1:42" s="571" customFormat="1" ht="12.75" customHeight="1">
      <c r="A147" s="573"/>
      <c r="B147" s="2066" t="s">
        <v>1512</v>
      </c>
      <c r="C147" s="2066"/>
      <c r="D147" s="2066"/>
      <c r="E147" s="2066"/>
      <c r="F147" s="2066"/>
      <c r="G147" s="2066"/>
      <c r="H147" s="2066"/>
      <c r="I147" s="2066"/>
      <c r="J147" s="2066"/>
      <c r="K147" s="2066"/>
      <c r="L147" s="2066"/>
      <c r="M147" s="2066"/>
      <c r="N147" s="2066"/>
      <c r="O147" s="2066"/>
      <c r="P147" s="2066"/>
      <c r="Q147" s="2066"/>
      <c r="R147" s="2066"/>
      <c r="S147" s="2066"/>
      <c r="T147" s="2066"/>
      <c r="U147" s="2066"/>
      <c r="V147" s="2066"/>
      <c r="W147" s="2066"/>
      <c r="X147" s="2066"/>
      <c r="Y147" s="2066"/>
      <c r="Z147" s="2066"/>
      <c r="AA147" s="2066"/>
      <c r="AB147" s="2066"/>
      <c r="AC147" s="2066"/>
      <c r="AD147" s="2066"/>
      <c r="AE147" s="2066"/>
      <c r="AF147" s="2066"/>
      <c r="AG147" s="2066"/>
      <c r="AH147" s="2066"/>
      <c r="AI147" s="2066"/>
      <c r="AM147" s="574"/>
      <c r="AN147" s="570"/>
      <c r="AO147" s="511" t="s">
        <v>1512</v>
      </c>
      <c r="AP147" s="524">
        <v>7</v>
      </c>
    </row>
    <row r="148" spans="1:42" s="571" customFormat="1" ht="12.9"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2411</v>
      </c>
      <c r="AP148" s="524">
        <v>7</v>
      </c>
    </row>
    <row r="149" spans="1:42" s="571" customFormat="1" ht="12.75" customHeight="1">
      <c r="A149" s="573"/>
      <c r="B149" s="574" t="s">
        <v>1513</v>
      </c>
      <c r="AB149" s="2010" t="s">
        <v>601</v>
      </c>
      <c r="AC149" s="2010"/>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1514</v>
      </c>
      <c r="AP150" s="524"/>
    </row>
    <row r="151" spans="1:42" s="571" customFormat="1" ht="12.75" customHeight="1">
      <c r="A151" s="573"/>
      <c r="B151" s="573" t="s">
        <v>1515</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1516</v>
      </c>
      <c r="AP151" s="524">
        <v>5</v>
      </c>
    </row>
    <row r="152" spans="1:42" s="571" customFormat="1" ht="12.75" customHeight="1">
      <c r="A152" s="573"/>
      <c r="B152" s="2066" t="s">
        <v>1514</v>
      </c>
      <c r="C152" s="2066"/>
      <c r="D152" s="2066"/>
      <c r="E152" s="2066"/>
      <c r="F152" s="2066"/>
      <c r="G152" s="2066"/>
      <c r="H152" s="2066"/>
      <c r="I152" s="2066"/>
      <c r="J152" s="2066"/>
      <c r="K152" s="2066"/>
      <c r="L152" s="2066"/>
      <c r="M152" s="2066"/>
      <c r="N152" s="2066"/>
      <c r="O152" s="2066"/>
      <c r="P152" s="2066"/>
      <c r="Q152" s="2066"/>
      <c r="R152" s="2066"/>
      <c r="S152" s="2066"/>
      <c r="T152" s="2066"/>
      <c r="U152" s="2066"/>
      <c r="V152" s="2066"/>
      <c r="W152" s="2066"/>
      <c r="X152" s="2066"/>
      <c r="Y152" s="2066"/>
      <c r="Z152" s="2066"/>
      <c r="AA152" s="2066"/>
      <c r="AB152" s="2066"/>
      <c r="AC152" s="2066"/>
      <c r="AD152" s="2066"/>
      <c r="AE152" s="2066"/>
      <c r="AF152" s="2066"/>
      <c r="AG152" s="2066"/>
      <c r="AH152" s="2066"/>
      <c r="AI152" s="2066"/>
      <c r="AJ152" s="2066"/>
      <c r="AN152" s="570"/>
      <c r="AO152" s="511" t="s">
        <v>1517</v>
      </c>
      <c r="AP152" s="524">
        <v>7</v>
      </c>
    </row>
    <row r="153" spans="1:42" s="571" customFormat="1" ht="12.75" customHeight="1">
      <c r="B153" s="574" t="s">
        <v>1518</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1520</v>
      </c>
      <c r="AJ155" s="1935">
        <f>IF($AB$149="N/A",VLOOKUP($B$147,$AO$145:$AP$148,2,FALSE),VLOOKUP($B$152,$AO$150:$AP$153,2,FALSE))</f>
        <v>7</v>
      </c>
      <c r="AK155" s="1935"/>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1522</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75" t="s">
        <v>1523</v>
      </c>
      <c r="AG157" s="1975"/>
      <c r="AH157" s="1975"/>
      <c r="AI157" s="1975"/>
      <c r="AJ157" s="1975"/>
      <c r="AK157" s="1975"/>
      <c r="AL157" s="1975"/>
      <c r="AM157" s="638"/>
      <c r="AN157" s="633"/>
    </row>
    <row r="158" spans="1:42" s="585" customFormat="1" ht="12.75" customHeight="1">
      <c r="A158" s="571"/>
      <c r="B158" s="574" t="s">
        <v>1524</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66" t="s">
        <v>1521</v>
      </c>
      <c r="D159" s="2066"/>
      <c r="E159" s="2066"/>
      <c r="F159" s="2066"/>
      <c r="G159" s="2066"/>
      <c r="H159" s="2066"/>
      <c r="I159" s="2066"/>
      <c r="J159" s="2066"/>
      <c r="K159" s="2066"/>
      <c r="L159" s="2066"/>
      <c r="M159" s="2066"/>
      <c r="N159" s="2066"/>
      <c r="O159" s="2066"/>
      <c r="P159" s="2066"/>
      <c r="Q159" s="2066"/>
      <c r="R159" s="2066"/>
      <c r="S159" s="2066"/>
      <c r="T159" s="2066"/>
      <c r="U159" s="2066"/>
      <c r="V159" s="2066"/>
      <c r="W159" s="2066"/>
      <c r="X159" s="2066"/>
      <c r="Y159" s="2066"/>
      <c r="Z159" s="2066"/>
      <c r="AA159" s="2066"/>
      <c r="AB159" s="2066"/>
      <c r="AC159" s="2066"/>
      <c r="AD159" s="2066"/>
      <c r="AE159" s="2066"/>
      <c r="AF159" s="2066"/>
      <c r="AG159" s="2066"/>
      <c r="AH159" s="2066"/>
      <c r="AI159" s="2066"/>
      <c r="AJ159" s="571"/>
      <c r="AK159" s="571"/>
      <c r="AL159" s="571"/>
      <c r="AM159" s="638"/>
      <c r="AN159" s="632"/>
      <c r="AO159" s="511" t="s">
        <v>309</v>
      </c>
      <c r="AP159" s="511"/>
    </row>
    <row r="160" spans="1:42" s="585" customFormat="1" ht="12.9"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1519</v>
      </c>
      <c r="AP160" s="634">
        <v>2</v>
      </c>
    </row>
    <row r="161" spans="1:73" s="585" customFormat="1" ht="12.75" customHeight="1">
      <c r="A161" s="571"/>
      <c r="B161" s="571"/>
      <c r="C161" s="574" t="s">
        <v>1526</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10" t="s">
        <v>601</v>
      </c>
      <c r="AD161" s="2010"/>
      <c r="AE161" s="571"/>
      <c r="AF161" s="571"/>
      <c r="AG161" s="571"/>
      <c r="AH161" s="571"/>
      <c r="AI161" s="571"/>
      <c r="AJ161" s="571"/>
      <c r="AK161" s="571"/>
      <c r="AL161" s="571"/>
      <c r="AM161" s="638"/>
      <c r="AN161" s="632"/>
      <c r="AO161" s="511" t="s">
        <v>1521</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1815</v>
      </c>
      <c r="AP162" s="634">
        <v>3</v>
      </c>
    </row>
    <row r="163" spans="1:73" s="585" customFormat="1" ht="12.75" customHeight="1">
      <c r="A163" s="571"/>
      <c r="B163" s="571"/>
      <c r="C163" s="2066" t="s">
        <v>1514</v>
      </c>
      <c r="D163" s="2066"/>
      <c r="E163" s="2066"/>
      <c r="F163" s="2066"/>
      <c r="G163" s="2066"/>
      <c r="H163" s="2066"/>
      <c r="I163" s="2066"/>
      <c r="J163" s="2066"/>
      <c r="K163" s="2066"/>
      <c r="L163" s="2066"/>
      <c r="M163" s="2066"/>
      <c r="N163" s="2066"/>
      <c r="O163" s="2066"/>
      <c r="P163" s="2066"/>
      <c r="Q163" s="2066"/>
      <c r="R163" s="2066"/>
      <c r="S163" s="2066"/>
      <c r="T163" s="2066"/>
      <c r="U163" s="2066"/>
      <c r="V163" s="2066"/>
      <c r="W163" s="2066"/>
      <c r="X163" s="2066"/>
      <c r="Y163" s="2066"/>
      <c r="Z163" s="2066"/>
      <c r="AA163" s="2066"/>
      <c r="AB163" s="2066"/>
      <c r="AC163" s="2066"/>
      <c r="AD163" s="2066"/>
      <c r="AE163" s="571"/>
      <c r="AF163" s="571"/>
      <c r="AG163" s="571"/>
      <c r="AH163" s="571"/>
      <c r="AI163" s="571"/>
      <c r="AJ163" s="571"/>
      <c r="AK163" s="571"/>
      <c r="AL163" s="571"/>
      <c r="AM163" s="638"/>
      <c r="AN163" s="632"/>
      <c r="AO163" s="637"/>
      <c r="AP163" s="634"/>
    </row>
    <row r="164" spans="1:73" s="585" customFormat="1" ht="12.75" customHeight="1">
      <c r="A164" s="571"/>
      <c r="B164" s="571"/>
      <c r="C164" s="574" t="s">
        <v>1518</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1528</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1514</v>
      </c>
      <c r="AP166" s="511"/>
    </row>
    <row r="167" spans="1:73" s="585" customFormat="1" ht="12.75" customHeight="1">
      <c r="A167" s="571"/>
      <c r="B167" s="571"/>
      <c r="C167" s="2065"/>
      <c r="D167" s="2065"/>
      <c r="E167" s="2065"/>
      <c r="F167" s="2065"/>
      <c r="G167" s="2065"/>
      <c r="H167" s="2065"/>
      <c r="I167" s="2065"/>
      <c r="J167" s="2065"/>
      <c r="K167" s="2065"/>
      <c r="L167" s="2065"/>
      <c r="M167" s="2065"/>
      <c r="N167" s="2065"/>
      <c r="O167" s="2065"/>
      <c r="P167" s="2065"/>
      <c r="Q167" s="2065"/>
      <c r="R167" s="2065"/>
      <c r="S167" s="2065"/>
      <c r="T167" s="2065"/>
      <c r="U167" s="2065"/>
      <c r="V167" s="2065"/>
      <c r="W167" s="2065"/>
      <c r="X167" s="2065"/>
      <c r="Y167" s="2065"/>
      <c r="Z167" s="2065"/>
      <c r="AA167" s="2065"/>
      <c r="AB167" s="2065"/>
      <c r="AC167" s="2065"/>
      <c r="AD167" s="2065"/>
      <c r="AE167" s="571"/>
      <c r="AF167" s="571"/>
      <c r="AG167" s="571"/>
      <c r="AH167" s="571"/>
      <c r="AI167" s="571"/>
      <c r="AJ167" s="571"/>
      <c r="AK167" s="571"/>
      <c r="AL167" s="571"/>
      <c r="AM167" s="638"/>
      <c r="AN167" s="632"/>
      <c r="AO167" s="511" t="s">
        <v>1525</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1527</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1529</v>
      </c>
      <c r="AJ169" s="1934">
        <f>IF($AC$161="N/A",VLOOKUP($C$159,$AO$159:$AP$162,2,FALSE),VLOOKUP($C$163,$AO$166:$AP$168,2,FALSE))</f>
        <v>3</v>
      </c>
      <c r="AK169" s="1934"/>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1530</v>
      </c>
      <c r="AK172" s="2060">
        <f>$AJ$155+$AJ$169</f>
        <v>10</v>
      </c>
      <c r="AL172" s="2061"/>
      <c r="AM172" s="2062"/>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1531</v>
      </c>
      <c r="AQ174" s="647">
        <v>0</v>
      </c>
    </row>
    <row r="175" spans="1:73" s="585" customFormat="1" ht="12.75" customHeight="1">
      <c r="A175" s="573" t="s">
        <v>1532</v>
      </c>
      <c r="B175" s="573" t="s">
        <v>1986</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08" t="s">
        <v>1485</v>
      </c>
      <c r="AF175" s="1908"/>
      <c r="AG175" s="1908"/>
      <c r="AH175" s="1908"/>
      <c r="AI175" s="1908"/>
      <c r="AJ175" s="1908"/>
      <c r="AK175" s="1908"/>
      <c r="AL175" s="626"/>
      <c r="AN175" s="632"/>
      <c r="AP175" s="585" t="s">
        <v>1101</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1533</v>
      </c>
      <c r="AQ176" s="585">
        <v>10</v>
      </c>
    </row>
    <row r="177" spans="1:45" s="585" customFormat="1" ht="12.75" customHeight="1">
      <c r="A177" s="571"/>
      <c r="B177" s="2063" t="s">
        <v>1101</v>
      </c>
      <c r="C177" s="2063"/>
      <c r="D177" s="2063"/>
      <c r="E177" s="2063"/>
      <c r="F177" s="2063"/>
      <c r="G177" s="2063"/>
      <c r="H177" s="2063"/>
      <c r="I177" s="2063"/>
      <c r="J177" s="2063"/>
      <c r="K177" s="2063"/>
      <c r="L177" s="2063"/>
      <c r="M177" s="2063"/>
      <c r="N177" s="2063"/>
      <c r="O177" s="2063"/>
      <c r="P177" s="2063"/>
      <c r="Q177" s="2063"/>
      <c r="R177" s="2063"/>
      <c r="S177" s="2063"/>
      <c r="T177" s="2063"/>
      <c r="U177" s="2063"/>
      <c r="V177" s="2063"/>
      <c r="W177" s="2063"/>
      <c r="X177" s="2063"/>
      <c r="Y177" s="2063"/>
      <c r="Z177" s="2063"/>
      <c r="AA177" s="2063"/>
      <c r="AB177" s="2063"/>
      <c r="AC177" s="2063"/>
      <c r="AD177" s="571"/>
      <c r="AE177" s="571"/>
      <c r="AF177" s="1975" t="s">
        <v>1534</v>
      </c>
      <c r="AG177" s="1975"/>
      <c r="AH177" s="1975"/>
      <c r="AI177" s="1975"/>
      <c r="AJ177" s="1975"/>
      <c r="AK177" s="1975"/>
      <c r="AL177" s="1975"/>
      <c r="AN177" s="632"/>
      <c r="AP177" s="585" t="s">
        <v>1103</v>
      </c>
      <c r="AQ177" s="585">
        <v>10</v>
      </c>
    </row>
    <row r="178" spans="1:45" s="585" customFormat="1" ht="12.75" customHeight="1">
      <c r="A178" s="571"/>
      <c r="B178" s="2064" t="s">
        <v>1985</v>
      </c>
      <c r="C178" s="2064"/>
      <c r="D178" s="2064"/>
      <c r="E178" s="2064"/>
      <c r="F178" s="2064"/>
      <c r="G178" s="2064"/>
      <c r="H178" s="2064"/>
      <c r="I178" s="2064"/>
      <c r="J178" s="2064"/>
      <c r="K178" s="2064"/>
      <c r="L178" s="2064"/>
      <c r="M178" s="2064"/>
      <c r="N178" s="2064"/>
      <c r="O178" s="2064"/>
      <c r="P178" s="2064"/>
      <c r="Q178" s="2064"/>
      <c r="R178" s="2064"/>
      <c r="S178" s="2064"/>
      <c r="T178" s="2065" t="s">
        <v>601</v>
      </c>
      <c r="U178" s="2065"/>
      <c r="V178" s="2065"/>
      <c r="W178" s="2065"/>
      <c r="X178" s="2065"/>
      <c r="Y178" s="2065"/>
      <c r="Z178" s="2065"/>
      <c r="AA178" s="2065"/>
      <c r="AB178" s="2065"/>
      <c r="AC178" s="2065"/>
      <c r="AD178" s="571"/>
      <c r="AE178" s="571"/>
      <c r="AF178" s="571"/>
      <c r="AG178" s="571"/>
      <c r="AH178" s="571"/>
      <c r="AI178" s="571"/>
      <c r="AJ178" s="578"/>
      <c r="AK178" s="630"/>
      <c r="AL178" s="630"/>
      <c r="AM178" s="630"/>
      <c r="AN178" s="632"/>
      <c r="AP178" s="585" t="s">
        <v>1535</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1538</v>
      </c>
      <c r="AQ179" s="585">
        <v>10</v>
      </c>
      <c r="AS179" s="585" t="s">
        <v>1536</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1537</v>
      </c>
      <c r="AK180" s="1902">
        <f>IF(AK78&gt;0,VLOOKUP($B$177,AP174:AQ180,2,FALSE),0)</f>
        <v>10</v>
      </c>
      <c r="AL180" s="1903"/>
      <c r="AM180" s="1904"/>
      <c r="AN180" s="570"/>
      <c r="AP180" s="585" t="s">
        <v>1540</v>
      </c>
      <c r="AQ180" s="585">
        <v>10</v>
      </c>
      <c r="AS180" s="585" t="s">
        <v>1539</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1541</v>
      </c>
      <c r="B183" s="573" t="s">
        <v>1542</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08" t="s">
        <v>1543</v>
      </c>
      <c r="AF183" s="1908"/>
      <c r="AG183" s="1908"/>
      <c r="AH183" s="1908"/>
      <c r="AI183" s="1908"/>
      <c r="AJ183" s="1908"/>
      <c r="AK183" s="1908"/>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1765</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1801</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57" t="s">
        <v>2706</v>
      </c>
      <c r="C188" s="2057"/>
      <c r="D188" s="2057"/>
      <c r="E188" s="2057"/>
      <c r="F188" s="2057"/>
      <c r="G188" s="2057"/>
      <c r="H188" s="2057"/>
      <c r="I188" s="2057"/>
      <c r="J188" s="2057"/>
      <c r="K188" s="2057"/>
      <c r="L188" s="2057"/>
      <c r="M188" s="2057"/>
      <c r="N188" s="2057"/>
      <c r="O188" s="2057"/>
      <c r="P188" s="2057"/>
      <c r="Q188" s="2057"/>
      <c r="R188" s="2057"/>
      <c r="S188" s="2057"/>
      <c r="T188" s="2057"/>
      <c r="U188" s="2057"/>
      <c r="V188" s="2057"/>
      <c r="W188" s="2057"/>
      <c r="X188" s="2057"/>
      <c r="Y188" s="2057"/>
      <c r="Z188" s="2057"/>
      <c r="AA188" s="2057"/>
      <c r="AB188" s="2057"/>
      <c r="AC188" s="882"/>
      <c r="AD188" s="2047">
        <v>4469462</v>
      </c>
      <c r="AE188" s="2047"/>
      <c r="AF188" s="2047"/>
      <c r="AG188" s="2047"/>
      <c r="AH188" s="2047"/>
      <c r="AI188" s="2047"/>
      <c r="AJ188" s="2047"/>
      <c r="AK188" s="645"/>
    </row>
    <row r="189" spans="1:45">
      <c r="A189" s="640"/>
      <c r="B189" s="2057"/>
      <c r="C189" s="2057"/>
      <c r="D189" s="2057"/>
      <c r="E189" s="2057"/>
      <c r="F189" s="2057"/>
      <c r="G189" s="2057"/>
      <c r="H189" s="2057"/>
      <c r="I189" s="2057"/>
      <c r="J189" s="2057"/>
      <c r="K189" s="2057"/>
      <c r="L189" s="2057"/>
      <c r="M189" s="2057"/>
      <c r="N189" s="2057"/>
      <c r="O189" s="2057"/>
      <c r="P189" s="2057"/>
      <c r="Q189" s="2057"/>
      <c r="R189" s="2057"/>
      <c r="S189" s="2057"/>
      <c r="T189" s="2057"/>
      <c r="U189" s="2057"/>
      <c r="V189" s="2057"/>
      <c r="W189" s="2057"/>
      <c r="X189" s="2057"/>
      <c r="Y189" s="2057"/>
      <c r="Z189" s="2057"/>
      <c r="AA189" s="2057"/>
      <c r="AB189" s="2057"/>
      <c r="AC189" s="882"/>
      <c r="AD189" s="2047"/>
      <c r="AE189" s="2047"/>
      <c r="AF189" s="2047"/>
      <c r="AG189" s="2047"/>
      <c r="AH189" s="2047"/>
      <c r="AI189" s="2047"/>
      <c r="AJ189" s="2047"/>
      <c r="AK189" s="645"/>
    </row>
    <row r="190" spans="1:45">
      <c r="A190" s="640"/>
      <c r="B190" s="2057"/>
      <c r="C190" s="2057"/>
      <c r="D190" s="2057"/>
      <c r="E190" s="2057"/>
      <c r="F190" s="2057"/>
      <c r="G190" s="2057"/>
      <c r="H190" s="2057"/>
      <c r="I190" s="2057"/>
      <c r="J190" s="2057"/>
      <c r="K190" s="2057"/>
      <c r="L190" s="2057"/>
      <c r="M190" s="2057"/>
      <c r="N190" s="2057"/>
      <c r="O190" s="2057"/>
      <c r="P190" s="2057"/>
      <c r="Q190" s="2057"/>
      <c r="R190" s="2057"/>
      <c r="S190" s="2057"/>
      <c r="T190" s="2057"/>
      <c r="U190" s="2057"/>
      <c r="V190" s="2057"/>
      <c r="W190" s="2057"/>
      <c r="X190" s="2057"/>
      <c r="Y190" s="2057"/>
      <c r="Z190" s="2057"/>
      <c r="AA190" s="2057"/>
      <c r="AB190" s="2057"/>
      <c r="AC190" s="882"/>
      <c r="AD190" s="2047"/>
      <c r="AE190" s="2047"/>
      <c r="AF190" s="2047"/>
      <c r="AG190" s="2047"/>
      <c r="AH190" s="2047"/>
      <c r="AI190" s="2047"/>
      <c r="AJ190" s="2047"/>
      <c r="AK190" s="645"/>
    </row>
    <row r="191" spans="1:45">
      <c r="A191" s="640"/>
      <c r="B191" s="2057"/>
      <c r="C191" s="2057"/>
      <c r="D191" s="2057"/>
      <c r="E191" s="2057"/>
      <c r="F191" s="2057"/>
      <c r="G191" s="2057"/>
      <c r="H191" s="2057"/>
      <c r="I191" s="2057"/>
      <c r="J191" s="2057"/>
      <c r="K191" s="2057"/>
      <c r="L191" s="2057"/>
      <c r="M191" s="2057"/>
      <c r="N191" s="2057"/>
      <c r="O191" s="2057"/>
      <c r="P191" s="2057"/>
      <c r="Q191" s="2057"/>
      <c r="R191" s="2057"/>
      <c r="S191" s="2057"/>
      <c r="T191" s="2057"/>
      <c r="U191" s="2057"/>
      <c r="V191" s="2057"/>
      <c r="W191" s="2057"/>
      <c r="X191" s="2057"/>
      <c r="Y191" s="2057"/>
      <c r="Z191" s="2057"/>
      <c r="AA191" s="2057"/>
      <c r="AB191" s="2057"/>
      <c r="AC191" s="882"/>
      <c r="AD191" s="2047"/>
      <c r="AE191" s="2047"/>
      <c r="AF191" s="2047"/>
      <c r="AG191" s="2047"/>
      <c r="AH191" s="2047"/>
      <c r="AI191" s="2047"/>
      <c r="AJ191" s="2047"/>
      <c r="AK191" s="645"/>
    </row>
    <row r="192" spans="1:45">
      <c r="A192" s="640"/>
      <c r="B192" s="2057"/>
      <c r="C192" s="2057"/>
      <c r="D192" s="2057"/>
      <c r="E192" s="2057"/>
      <c r="F192" s="2057"/>
      <c r="G192" s="2057"/>
      <c r="H192" s="2057"/>
      <c r="I192" s="2057"/>
      <c r="J192" s="2057"/>
      <c r="K192" s="2057"/>
      <c r="L192" s="2057"/>
      <c r="M192" s="2057"/>
      <c r="N192" s="2057"/>
      <c r="O192" s="2057"/>
      <c r="P192" s="2057"/>
      <c r="Q192" s="2057"/>
      <c r="R192" s="2057"/>
      <c r="S192" s="2057"/>
      <c r="T192" s="2057"/>
      <c r="U192" s="2057"/>
      <c r="V192" s="2057"/>
      <c r="W192" s="2057"/>
      <c r="X192" s="2057"/>
      <c r="Y192" s="2057"/>
      <c r="Z192" s="2057"/>
      <c r="AA192" s="2057"/>
      <c r="AB192" s="2057"/>
      <c r="AC192" s="882"/>
      <c r="AD192" s="2047"/>
      <c r="AE192" s="2047"/>
      <c r="AF192" s="2047"/>
      <c r="AG192" s="2047"/>
      <c r="AH192" s="2047"/>
      <c r="AI192" s="2047"/>
      <c r="AJ192" s="2047"/>
      <c r="AK192" s="645"/>
    </row>
    <row r="193" spans="1:37">
      <c r="A193" s="640"/>
      <c r="B193" s="2057"/>
      <c r="C193" s="2057"/>
      <c r="D193" s="2057"/>
      <c r="E193" s="2057"/>
      <c r="F193" s="2057"/>
      <c r="G193" s="2057"/>
      <c r="H193" s="2057"/>
      <c r="I193" s="2057"/>
      <c r="J193" s="2057"/>
      <c r="K193" s="2057"/>
      <c r="L193" s="2057"/>
      <c r="M193" s="2057"/>
      <c r="N193" s="2057"/>
      <c r="O193" s="2057"/>
      <c r="P193" s="2057"/>
      <c r="Q193" s="2057"/>
      <c r="R193" s="2057"/>
      <c r="S193" s="2057"/>
      <c r="T193" s="2057"/>
      <c r="U193" s="2057"/>
      <c r="V193" s="2057"/>
      <c r="W193" s="2057"/>
      <c r="X193" s="2057"/>
      <c r="Y193" s="2057"/>
      <c r="Z193" s="2057"/>
      <c r="AA193" s="2057"/>
      <c r="AB193" s="2057"/>
      <c r="AC193" s="882"/>
      <c r="AD193" s="2047"/>
      <c r="AE193" s="2047"/>
      <c r="AF193" s="2047"/>
      <c r="AG193" s="2047"/>
      <c r="AH193" s="2047"/>
      <c r="AI193" s="2047"/>
      <c r="AJ193" s="2047"/>
      <c r="AK193" s="645"/>
    </row>
    <row r="194" spans="1:37">
      <c r="A194" s="640"/>
      <c r="B194" s="2057"/>
      <c r="C194" s="2057"/>
      <c r="D194" s="2057"/>
      <c r="E194" s="2057"/>
      <c r="F194" s="2057"/>
      <c r="G194" s="2057"/>
      <c r="H194" s="2057"/>
      <c r="I194" s="2057"/>
      <c r="J194" s="2057"/>
      <c r="K194" s="2057"/>
      <c r="L194" s="2057"/>
      <c r="M194" s="2057"/>
      <c r="N194" s="2057"/>
      <c r="O194" s="2057"/>
      <c r="P194" s="2057"/>
      <c r="Q194" s="2057"/>
      <c r="R194" s="2057"/>
      <c r="S194" s="2057"/>
      <c r="T194" s="2057"/>
      <c r="U194" s="2057"/>
      <c r="V194" s="2057"/>
      <c r="W194" s="2057"/>
      <c r="X194" s="2057"/>
      <c r="Y194" s="2057"/>
      <c r="Z194" s="2057"/>
      <c r="AA194" s="2057"/>
      <c r="AB194" s="2057"/>
      <c r="AC194" s="882"/>
      <c r="AD194" s="2047"/>
      <c r="AE194" s="2047"/>
      <c r="AF194" s="2047"/>
      <c r="AG194" s="2047"/>
      <c r="AH194" s="2047"/>
      <c r="AI194" s="2047"/>
      <c r="AJ194" s="2047"/>
      <c r="AK194" s="645"/>
    </row>
    <row r="195" spans="1:37">
      <c r="A195" s="640"/>
      <c r="B195" s="2057"/>
      <c r="C195" s="2057"/>
      <c r="D195" s="2057"/>
      <c r="E195" s="2057"/>
      <c r="F195" s="2057"/>
      <c r="G195" s="2057"/>
      <c r="H195" s="2057"/>
      <c r="I195" s="2057"/>
      <c r="J195" s="2057"/>
      <c r="K195" s="2057"/>
      <c r="L195" s="2057"/>
      <c r="M195" s="2057"/>
      <c r="N195" s="2057"/>
      <c r="O195" s="2057"/>
      <c r="P195" s="2057"/>
      <c r="Q195" s="2057"/>
      <c r="R195" s="2057"/>
      <c r="S195" s="2057"/>
      <c r="T195" s="2057"/>
      <c r="U195" s="2057"/>
      <c r="V195" s="2057"/>
      <c r="W195" s="2057"/>
      <c r="X195" s="2057"/>
      <c r="Y195" s="2057"/>
      <c r="Z195" s="2057"/>
      <c r="AA195" s="2057"/>
      <c r="AB195" s="2057"/>
      <c r="AC195" s="882"/>
      <c r="AD195" s="2047"/>
      <c r="AE195" s="2047"/>
      <c r="AF195" s="2047"/>
      <c r="AG195" s="2047"/>
      <c r="AH195" s="2047"/>
      <c r="AI195" s="2047"/>
      <c r="AJ195" s="2047"/>
      <c r="AK195" s="645"/>
    </row>
    <row r="196" spans="1:37">
      <c r="A196" s="640"/>
      <c r="B196" s="2057"/>
      <c r="C196" s="2057"/>
      <c r="D196" s="2057"/>
      <c r="E196" s="2057"/>
      <c r="F196" s="2057"/>
      <c r="G196" s="2057"/>
      <c r="H196" s="2057"/>
      <c r="I196" s="2057"/>
      <c r="J196" s="2057"/>
      <c r="K196" s="2057"/>
      <c r="L196" s="2057"/>
      <c r="M196" s="2057"/>
      <c r="N196" s="2057"/>
      <c r="O196" s="2057"/>
      <c r="P196" s="2057"/>
      <c r="Q196" s="2057"/>
      <c r="R196" s="2057"/>
      <c r="S196" s="2057"/>
      <c r="T196" s="2057"/>
      <c r="U196" s="2057"/>
      <c r="V196" s="2057"/>
      <c r="W196" s="2057"/>
      <c r="X196" s="2057"/>
      <c r="Y196" s="2057"/>
      <c r="Z196" s="2057"/>
      <c r="AA196" s="2057"/>
      <c r="AB196" s="2057"/>
      <c r="AC196" s="882"/>
      <c r="AD196" s="2047"/>
      <c r="AE196" s="2047"/>
      <c r="AF196" s="2047"/>
      <c r="AG196" s="2047"/>
      <c r="AH196" s="2047"/>
      <c r="AI196" s="2047"/>
      <c r="AJ196" s="2047"/>
      <c r="AK196" s="645"/>
    </row>
    <row r="197" spans="1:37">
      <c r="A197" s="640"/>
      <c r="B197" s="2057"/>
      <c r="C197" s="2057"/>
      <c r="D197" s="2057"/>
      <c r="E197" s="2057"/>
      <c r="F197" s="2057"/>
      <c r="G197" s="2057"/>
      <c r="H197" s="2057"/>
      <c r="I197" s="2057"/>
      <c r="J197" s="2057"/>
      <c r="K197" s="2057"/>
      <c r="L197" s="2057"/>
      <c r="M197" s="2057"/>
      <c r="N197" s="2057"/>
      <c r="O197" s="2057"/>
      <c r="P197" s="2057"/>
      <c r="Q197" s="2057"/>
      <c r="R197" s="2057"/>
      <c r="S197" s="2057"/>
      <c r="T197" s="2057"/>
      <c r="U197" s="2057"/>
      <c r="V197" s="2057"/>
      <c r="W197" s="2057"/>
      <c r="X197" s="2057"/>
      <c r="Y197" s="2057"/>
      <c r="Z197" s="2057"/>
      <c r="AA197" s="2057"/>
      <c r="AB197" s="2057"/>
      <c r="AC197" s="882"/>
      <c r="AD197" s="2047"/>
      <c r="AE197" s="2047"/>
      <c r="AF197" s="2047"/>
      <c r="AG197" s="2047"/>
      <c r="AH197" s="2047"/>
      <c r="AI197" s="2047"/>
      <c r="AJ197" s="2047"/>
      <c r="AK197" s="645"/>
    </row>
    <row r="198" spans="1:37">
      <c r="A198" s="640"/>
      <c r="B198" s="1922" t="s">
        <v>1803</v>
      </c>
      <c r="C198" s="1922"/>
      <c r="D198" s="1922"/>
      <c r="E198" s="1922"/>
      <c r="F198" s="1922"/>
      <c r="G198" s="1922"/>
      <c r="H198" s="1922"/>
      <c r="I198" s="1922"/>
      <c r="J198" s="1922"/>
      <c r="K198" s="1922"/>
      <c r="L198" s="1922"/>
      <c r="M198" s="1922"/>
      <c r="N198" s="1922"/>
      <c r="O198" s="1922"/>
      <c r="P198" s="1922"/>
      <c r="Q198" s="1922"/>
      <c r="R198" s="1922"/>
      <c r="S198" s="1922"/>
      <c r="T198" s="1922"/>
      <c r="U198" s="1922"/>
      <c r="V198" s="1922"/>
      <c r="W198" s="1922"/>
      <c r="X198" s="1922"/>
      <c r="Y198" s="1922"/>
      <c r="Z198" s="1922"/>
      <c r="AA198" s="1922"/>
      <c r="AB198" s="1922"/>
      <c r="AC198" s="571"/>
      <c r="AD198" s="2045">
        <f>AB249</f>
        <v>0</v>
      </c>
      <c r="AE198" s="2045"/>
      <c r="AF198" s="2045"/>
      <c r="AG198" s="2045"/>
      <c r="AH198" s="2045"/>
      <c r="AI198" s="2045"/>
      <c r="AJ198" s="2045"/>
      <c r="AK198" s="645"/>
    </row>
    <row r="199" spans="1:37">
      <c r="A199" s="640"/>
      <c r="B199" s="1920" t="s">
        <v>1766</v>
      </c>
      <c r="C199" s="1920"/>
      <c r="D199" s="1920"/>
      <c r="E199" s="1920"/>
      <c r="F199" s="1920"/>
      <c r="G199" s="1920"/>
      <c r="H199" s="1920"/>
      <c r="I199" s="1920"/>
      <c r="J199" s="1920"/>
      <c r="K199" s="1920"/>
      <c r="L199" s="1920"/>
      <c r="M199" s="1920"/>
      <c r="N199" s="1920"/>
      <c r="O199" s="1920"/>
      <c r="P199" s="1920"/>
      <c r="Q199" s="1920"/>
      <c r="R199" s="1920"/>
      <c r="S199" s="1920"/>
      <c r="T199" s="1920"/>
      <c r="U199" s="1920"/>
      <c r="V199" s="1920"/>
      <c r="W199" s="1920"/>
      <c r="X199" s="1920"/>
      <c r="Y199" s="1920"/>
      <c r="Z199" s="1920"/>
      <c r="AA199" s="1920"/>
      <c r="AB199" s="1920"/>
      <c r="AC199" s="882"/>
      <c r="AD199" s="2046">
        <f>'Sources and Uses Budget'!B15</f>
        <v>0</v>
      </c>
      <c r="AE199" s="2046"/>
      <c r="AF199" s="2046"/>
      <c r="AG199" s="2046"/>
      <c r="AH199" s="2046"/>
      <c r="AI199" s="2046"/>
      <c r="AJ199" s="2046"/>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2051">
        <f>SUM(AD188:AJ198)-AD199</f>
        <v>4469462</v>
      </c>
      <c r="AE200" s="2051"/>
      <c r="AF200" s="2051"/>
      <c r="AG200" s="2051"/>
      <c r="AH200" s="2051"/>
      <c r="AI200" s="2051"/>
      <c r="AJ200" s="2051"/>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1771</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1802</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1773</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1774</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2418</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1775</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1776</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1814</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70" t="s">
        <v>1783</v>
      </c>
      <c r="J211" s="2070"/>
      <c r="K211" s="2070"/>
      <c r="L211" s="571"/>
      <c r="M211" s="571"/>
      <c r="N211" s="571"/>
      <c r="O211" s="571"/>
      <c r="P211" s="571"/>
      <c r="Q211" s="571"/>
      <c r="R211" s="571"/>
      <c r="S211" s="571"/>
      <c r="T211" s="1886" t="s">
        <v>1777</v>
      </c>
      <c r="U211" s="1886"/>
      <c r="V211" s="1886"/>
      <c r="W211" s="1886"/>
      <c r="X211" s="1886"/>
      <c r="Y211" s="1886"/>
      <c r="Z211" s="885"/>
      <c r="AA211" s="524"/>
      <c r="AB211" s="2067" t="s">
        <v>1778</v>
      </c>
      <c r="AC211" s="2067"/>
      <c r="AD211" s="2067"/>
      <c r="AE211" s="2067"/>
      <c r="AF211" s="2067"/>
      <c r="AG211" s="2067"/>
      <c r="AH211" s="863"/>
      <c r="AI211" s="863"/>
      <c r="AJ211" s="863"/>
      <c r="AK211" s="645"/>
    </row>
    <row r="212" spans="1:37">
      <c r="A212" s="640"/>
      <c r="B212" s="2068" t="s">
        <v>1763</v>
      </c>
      <c r="C212" s="2068"/>
      <c r="D212" s="2068"/>
      <c r="E212" s="2068"/>
      <c r="F212" s="2068"/>
      <c r="G212" s="2068"/>
      <c r="I212" s="2069" t="s">
        <v>1784</v>
      </c>
      <c r="J212" s="2069"/>
      <c r="K212" s="2069"/>
      <c r="L212" s="1045"/>
      <c r="N212" s="1921" t="s">
        <v>1779</v>
      </c>
      <c r="O212" s="1921"/>
      <c r="P212" s="1921"/>
      <c r="Q212" s="1921"/>
      <c r="R212" s="1921"/>
      <c r="T212" s="1921" t="s">
        <v>1780</v>
      </c>
      <c r="U212" s="1921"/>
      <c r="V212" s="1921"/>
      <c r="W212" s="1921"/>
      <c r="X212" s="1921"/>
      <c r="Y212" s="1921"/>
      <c r="Z212" s="886"/>
      <c r="AA212" s="524"/>
      <c r="AB212" s="1924" t="s">
        <v>1781</v>
      </c>
      <c r="AC212" s="1924"/>
      <c r="AD212" s="1924"/>
      <c r="AE212" s="1924"/>
      <c r="AF212" s="1924"/>
      <c r="AG212" s="1924"/>
      <c r="AH212" s="863"/>
      <c r="AI212" s="863"/>
      <c r="AJ212" s="863"/>
      <c r="AK212" s="645"/>
    </row>
    <row r="213" spans="1:37">
      <c r="A213" s="640"/>
      <c r="B213" s="1923" t="s">
        <v>1326</v>
      </c>
      <c r="C213" s="1923"/>
      <c r="D213" s="1923"/>
      <c r="E213" s="1923"/>
      <c r="F213" s="1923"/>
      <c r="G213" s="1923"/>
      <c r="H213" s="888"/>
      <c r="I213" s="1891"/>
      <c r="J213" s="1891"/>
      <c r="K213" s="1891"/>
      <c r="L213" s="1045"/>
      <c r="N213" s="1888"/>
      <c r="O213" s="1888"/>
      <c r="P213" s="1888"/>
      <c r="Q213" s="1888"/>
      <c r="R213" s="1888"/>
      <c r="T213" s="1887"/>
      <c r="U213" s="1887"/>
      <c r="V213" s="1887"/>
      <c r="W213" s="1887"/>
      <c r="X213" s="1887"/>
      <c r="Y213" s="1887"/>
      <c r="Z213" s="887"/>
      <c r="AA213" s="887"/>
      <c r="AB213" s="1885">
        <f t="shared" ref="AB213:AB222" si="0">MAX(($T213-$N213)*$I213*12,0)</f>
        <v>0</v>
      </c>
      <c r="AC213" s="1885"/>
      <c r="AD213" s="1885"/>
      <c r="AE213" s="1885"/>
      <c r="AF213" s="1885"/>
      <c r="AG213" s="1885"/>
      <c r="AH213" s="863"/>
      <c r="AI213" s="863"/>
      <c r="AJ213" s="863"/>
      <c r="AK213" s="645"/>
    </row>
    <row r="214" spans="1:37">
      <c r="A214" s="640"/>
      <c r="B214" s="1923" t="s">
        <v>1326</v>
      </c>
      <c r="C214" s="1923"/>
      <c r="D214" s="1923"/>
      <c r="E214" s="1923"/>
      <c r="F214" s="1923"/>
      <c r="G214" s="1923"/>
      <c r="I214" s="1891"/>
      <c r="J214" s="1891"/>
      <c r="K214" s="1891"/>
      <c r="L214" s="1045"/>
      <c r="N214" s="1888"/>
      <c r="O214" s="1888"/>
      <c r="P214" s="1888"/>
      <c r="Q214" s="1888"/>
      <c r="R214" s="1888"/>
      <c r="T214" s="1887"/>
      <c r="U214" s="1887"/>
      <c r="V214" s="1887"/>
      <c r="W214" s="1887"/>
      <c r="X214" s="1887"/>
      <c r="Y214" s="1887"/>
      <c r="Z214" s="887"/>
      <c r="AA214" s="887"/>
      <c r="AB214" s="1885">
        <f t="shared" si="0"/>
        <v>0</v>
      </c>
      <c r="AC214" s="1885"/>
      <c r="AD214" s="1885"/>
      <c r="AE214" s="1885"/>
      <c r="AF214" s="1885"/>
      <c r="AG214" s="1885"/>
      <c r="AH214" s="863"/>
      <c r="AI214" s="863"/>
      <c r="AJ214" s="863"/>
      <c r="AK214" s="645"/>
    </row>
    <row r="215" spans="1:37">
      <c r="A215" s="640"/>
      <c r="B215" s="1923" t="s">
        <v>1326</v>
      </c>
      <c r="C215" s="1923"/>
      <c r="D215" s="1923"/>
      <c r="E215" s="1923"/>
      <c r="F215" s="1923"/>
      <c r="G215" s="1923"/>
      <c r="I215" s="1891"/>
      <c r="J215" s="1891"/>
      <c r="K215" s="1891"/>
      <c r="L215" s="1045"/>
      <c r="N215" s="1888"/>
      <c r="O215" s="1888"/>
      <c r="P215" s="1888"/>
      <c r="Q215" s="1888"/>
      <c r="R215" s="1888"/>
      <c r="T215" s="1887"/>
      <c r="U215" s="1887"/>
      <c r="V215" s="1887"/>
      <c r="W215" s="1887"/>
      <c r="X215" s="1887"/>
      <c r="Y215" s="1887"/>
      <c r="Z215" s="887"/>
      <c r="AA215" s="887"/>
      <c r="AB215" s="1885">
        <f t="shared" si="0"/>
        <v>0</v>
      </c>
      <c r="AC215" s="1885"/>
      <c r="AD215" s="1885"/>
      <c r="AE215" s="1885"/>
      <c r="AF215" s="1885"/>
      <c r="AG215" s="1885"/>
      <c r="AH215" s="863"/>
      <c r="AI215" s="863"/>
      <c r="AJ215" s="863"/>
      <c r="AK215" s="645"/>
    </row>
    <row r="216" spans="1:37">
      <c r="A216" s="640"/>
      <c r="B216" s="1923" t="s">
        <v>1326</v>
      </c>
      <c r="C216" s="1923"/>
      <c r="D216" s="1923"/>
      <c r="E216" s="1923"/>
      <c r="F216" s="1923"/>
      <c r="G216" s="1923"/>
      <c r="I216" s="1891"/>
      <c r="J216" s="1891"/>
      <c r="K216" s="1891"/>
      <c r="L216" s="1045"/>
      <c r="N216" s="1888"/>
      <c r="O216" s="1888"/>
      <c r="P216" s="1888"/>
      <c r="Q216" s="1888"/>
      <c r="R216" s="1888"/>
      <c r="T216" s="1887"/>
      <c r="U216" s="1887"/>
      <c r="V216" s="1887"/>
      <c r="W216" s="1887"/>
      <c r="X216" s="1887"/>
      <c r="Y216" s="1887"/>
      <c r="Z216" s="887"/>
      <c r="AA216" s="887"/>
      <c r="AB216" s="1885">
        <f t="shared" si="0"/>
        <v>0</v>
      </c>
      <c r="AC216" s="1885"/>
      <c r="AD216" s="1885"/>
      <c r="AE216" s="1885"/>
      <c r="AF216" s="1885"/>
      <c r="AG216" s="1885"/>
      <c r="AH216" s="863"/>
      <c r="AI216" s="863"/>
      <c r="AJ216" s="863"/>
      <c r="AK216" s="645"/>
    </row>
    <row r="217" spans="1:37">
      <c r="A217" s="640"/>
      <c r="B217" s="1923" t="s">
        <v>1326</v>
      </c>
      <c r="C217" s="1923"/>
      <c r="D217" s="1923"/>
      <c r="E217" s="1923"/>
      <c r="F217" s="1923"/>
      <c r="G217" s="1923"/>
      <c r="I217" s="1891"/>
      <c r="J217" s="1891"/>
      <c r="K217" s="1891"/>
      <c r="L217" s="1052"/>
      <c r="N217" s="1888"/>
      <c r="O217" s="1888"/>
      <c r="P217" s="1888"/>
      <c r="Q217" s="1888"/>
      <c r="R217" s="1888"/>
      <c r="T217" s="1887"/>
      <c r="U217" s="1887"/>
      <c r="V217" s="1887"/>
      <c r="W217" s="1887"/>
      <c r="X217" s="1887"/>
      <c r="Y217" s="1887"/>
      <c r="Z217" s="887"/>
      <c r="AA217" s="887"/>
      <c r="AB217" s="1885">
        <f t="shared" si="0"/>
        <v>0</v>
      </c>
      <c r="AC217" s="1885"/>
      <c r="AD217" s="1885"/>
      <c r="AE217" s="1885"/>
      <c r="AF217" s="1885"/>
      <c r="AG217" s="1885"/>
      <c r="AH217" s="863"/>
      <c r="AI217" s="863"/>
      <c r="AJ217" s="863"/>
      <c r="AK217" s="645"/>
    </row>
    <row r="218" spans="1:37">
      <c r="A218" s="640"/>
      <c r="B218" s="1923" t="s">
        <v>1326</v>
      </c>
      <c r="C218" s="1923"/>
      <c r="D218" s="1923"/>
      <c r="E218" s="1923"/>
      <c r="F218" s="1923"/>
      <c r="G218" s="1923"/>
      <c r="I218" s="1891"/>
      <c r="J218" s="1891"/>
      <c r="K218" s="1891"/>
      <c r="L218" s="1052"/>
      <c r="N218" s="1888"/>
      <c r="O218" s="1888"/>
      <c r="P218" s="1888"/>
      <c r="Q218" s="1888"/>
      <c r="R218" s="1888"/>
      <c r="T218" s="1887"/>
      <c r="U218" s="1887"/>
      <c r="V218" s="1887"/>
      <c r="W218" s="1887"/>
      <c r="X218" s="1887"/>
      <c r="Y218" s="1887"/>
      <c r="Z218" s="887"/>
      <c r="AA218" s="887"/>
      <c r="AB218" s="1885">
        <f t="shared" si="0"/>
        <v>0</v>
      </c>
      <c r="AC218" s="1885"/>
      <c r="AD218" s="1885"/>
      <c r="AE218" s="1885"/>
      <c r="AF218" s="1885"/>
      <c r="AG218" s="1885"/>
      <c r="AH218" s="863"/>
      <c r="AI218" s="863"/>
      <c r="AJ218" s="863"/>
      <c r="AK218" s="645"/>
    </row>
    <row r="219" spans="1:37">
      <c r="A219" s="640"/>
      <c r="B219" s="1923" t="s">
        <v>1326</v>
      </c>
      <c r="C219" s="1923"/>
      <c r="D219" s="1923"/>
      <c r="E219" s="1923"/>
      <c r="F219" s="1923"/>
      <c r="G219" s="1923"/>
      <c r="I219" s="1891"/>
      <c r="J219" s="1891"/>
      <c r="K219" s="1891"/>
      <c r="L219" s="1052"/>
      <c r="N219" s="1888"/>
      <c r="O219" s="1888"/>
      <c r="P219" s="1888"/>
      <c r="Q219" s="1888"/>
      <c r="R219" s="1888"/>
      <c r="T219" s="1887"/>
      <c r="U219" s="1887"/>
      <c r="V219" s="1887"/>
      <c r="W219" s="1887"/>
      <c r="X219" s="1887"/>
      <c r="Y219" s="1887"/>
      <c r="Z219" s="887"/>
      <c r="AA219" s="887"/>
      <c r="AB219" s="1885">
        <f t="shared" si="0"/>
        <v>0</v>
      </c>
      <c r="AC219" s="1885"/>
      <c r="AD219" s="1885"/>
      <c r="AE219" s="1885"/>
      <c r="AF219" s="1885"/>
      <c r="AG219" s="1885"/>
      <c r="AH219" s="863"/>
      <c r="AI219" s="863"/>
      <c r="AJ219" s="863"/>
      <c r="AK219" s="645"/>
    </row>
    <row r="220" spans="1:37">
      <c r="A220" s="640"/>
      <c r="B220" s="1923" t="s">
        <v>1326</v>
      </c>
      <c r="C220" s="1923"/>
      <c r="D220" s="1923"/>
      <c r="E220" s="1923"/>
      <c r="F220" s="1923"/>
      <c r="G220" s="1923"/>
      <c r="I220" s="1891"/>
      <c r="J220" s="1891"/>
      <c r="K220" s="1891"/>
      <c r="L220" s="1052"/>
      <c r="N220" s="1888"/>
      <c r="O220" s="1888"/>
      <c r="P220" s="1888"/>
      <c r="Q220" s="1888"/>
      <c r="R220" s="1888"/>
      <c r="T220" s="1887"/>
      <c r="U220" s="1887"/>
      <c r="V220" s="1887"/>
      <c r="W220" s="1887"/>
      <c r="X220" s="1887"/>
      <c r="Y220" s="1887"/>
      <c r="Z220" s="887"/>
      <c r="AA220" s="887"/>
      <c r="AB220" s="1885">
        <f t="shared" si="0"/>
        <v>0</v>
      </c>
      <c r="AC220" s="1885"/>
      <c r="AD220" s="1885"/>
      <c r="AE220" s="1885"/>
      <c r="AF220" s="1885"/>
      <c r="AG220" s="1885"/>
      <c r="AH220" s="863"/>
      <c r="AI220" s="863"/>
      <c r="AJ220" s="863"/>
      <c r="AK220" s="645"/>
    </row>
    <row r="221" spans="1:37">
      <c r="A221" s="640"/>
      <c r="B221" s="1923" t="s">
        <v>1326</v>
      </c>
      <c r="C221" s="1923"/>
      <c r="D221" s="1923"/>
      <c r="E221" s="1923"/>
      <c r="F221" s="1923"/>
      <c r="G221" s="1923"/>
      <c r="I221" s="1891"/>
      <c r="J221" s="1891"/>
      <c r="K221" s="1891"/>
      <c r="L221" s="1052"/>
      <c r="N221" s="1888"/>
      <c r="O221" s="1888"/>
      <c r="P221" s="1888"/>
      <c r="Q221" s="1888"/>
      <c r="R221" s="1888"/>
      <c r="T221" s="1887"/>
      <c r="U221" s="1887"/>
      <c r="V221" s="1887"/>
      <c r="W221" s="1887"/>
      <c r="X221" s="1887"/>
      <c r="Y221" s="1887"/>
      <c r="Z221" s="887"/>
      <c r="AA221" s="887"/>
      <c r="AB221" s="1885">
        <f t="shared" si="0"/>
        <v>0</v>
      </c>
      <c r="AC221" s="1885"/>
      <c r="AD221" s="1885"/>
      <c r="AE221" s="1885"/>
      <c r="AF221" s="1885"/>
      <c r="AG221" s="1885"/>
      <c r="AH221" s="863"/>
      <c r="AI221" s="863"/>
      <c r="AJ221" s="863"/>
      <c r="AK221" s="645"/>
    </row>
    <row r="222" spans="1:37">
      <c r="A222" s="640"/>
      <c r="B222" s="1923" t="s">
        <v>1326</v>
      </c>
      <c r="C222" s="1923"/>
      <c r="D222" s="1923"/>
      <c r="E222" s="1923"/>
      <c r="F222" s="1923"/>
      <c r="G222" s="1923"/>
      <c r="I222" s="2071"/>
      <c r="J222" s="2071"/>
      <c r="K222" s="2071"/>
      <c r="L222" s="1052"/>
      <c r="N222" s="1888"/>
      <c r="O222" s="1888"/>
      <c r="P222" s="1888"/>
      <c r="Q222" s="1888"/>
      <c r="R222" s="1888"/>
      <c r="T222" s="1887"/>
      <c r="U222" s="1887"/>
      <c r="V222" s="1887"/>
      <c r="W222" s="1887"/>
      <c r="X222" s="1887"/>
      <c r="Y222" s="1887"/>
      <c r="Z222" s="887"/>
      <c r="AA222" s="887"/>
      <c r="AB222" s="1892">
        <f t="shared" si="0"/>
        <v>0</v>
      </c>
      <c r="AC222" s="1892"/>
      <c r="AD222" s="1892"/>
      <c r="AE222" s="1892"/>
      <c r="AF222" s="1892"/>
      <c r="AG222" s="1892"/>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1782</v>
      </c>
      <c r="AA223" s="889"/>
      <c r="AB223" s="1885">
        <f>SUM(AB213:AB222)</f>
        <v>0</v>
      </c>
      <c r="AC223" s="1885"/>
      <c r="AD223" s="1885"/>
      <c r="AE223" s="1885"/>
      <c r="AF223" s="1885"/>
      <c r="AG223" s="1885"/>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1772</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1800</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1798</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1792</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25"/>
      <c r="AC229" s="1925"/>
      <c r="AD229" s="1925"/>
      <c r="AE229" s="1925"/>
      <c r="AF229" s="1925"/>
      <c r="AG229" s="1925"/>
      <c r="AH229" s="645"/>
      <c r="AI229" s="645"/>
      <c r="AJ229" s="645"/>
      <c r="AK229" s="645"/>
    </row>
    <row r="230" spans="1:37">
      <c r="A230" s="640"/>
      <c r="B230" s="873" t="s">
        <v>1797</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1799</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1793</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25"/>
      <c r="AC232" s="1925"/>
      <c r="AD232" s="1925"/>
      <c r="AE232" s="1925"/>
      <c r="AF232" s="1925"/>
      <c r="AG232" s="1925"/>
      <c r="AH232" s="645"/>
      <c r="AI232" s="645"/>
      <c r="AJ232" s="645"/>
      <c r="AK232" s="645"/>
    </row>
    <row r="233" spans="1:37">
      <c r="A233" s="640"/>
      <c r="B233" s="874" t="s">
        <v>1794</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84"/>
      <c r="AC233" s="1884"/>
      <c r="AD233" s="1884"/>
      <c r="AE233" s="1884"/>
      <c r="AF233" s="1884"/>
      <c r="AG233" s="1884"/>
      <c r="AH233" s="645"/>
      <c r="AI233" s="645"/>
      <c r="AJ233" s="645"/>
      <c r="AK233" s="645"/>
    </row>
    <row r="234" spans="1:37">
      <c r="A234" s="640"/>
      <c r="B234" s="874" t="s">
        <v>1795</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893">
        <f>IFERROR(AB232/AB233,0)</f>
        <v>0</v>
      </c>
      <c r="AC234" s="1893"/>
      <c r="AD234" s="1893"/>
      <c r="AE234" s="1893"/>
      <c r="AF234" s="1893"/>
      <c r="AG234" s="1893"/>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1796</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92">
        <f>MAX(AB229,AB234)</f>
        <v>0</v>
      </c>
      <c r="AC236" s="1892"/>
      <c r="AD236" s="1892"/>
      <c r="AE236" s="1892"/>
      <c r="AF236" s="1892"/>
      <c r="AG236" s="1892"/>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1785</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85">
        <f>AB223+AB236</f>
        <v>0</v>
      </c>
      <c r="AC239" s="1885"/>
      <c r="AD239" s="1885"/>
      <c r="AE239" s="1885"/>
      <c r="AF239" s="1885"/>
      <c r="AG239" s="1885"/>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55">
        <v>0.05</v>
      </c>
      <c r="AC240" s="2055"/>
      <c r="AD240" s="2055"/>
      <c r="AE240" s="2055"/>
      <c r="AF240" s="2055"/>
      <c r="AG240" s="2055"/>
      <c r="AH240" s="645"/>
      <c r="AI240" s="645"/>
      <c r="AJ240" s="645"/>
      <c r="AK240" s="645"/>
    </row>
    <row r="241" spans="1:37">
      <c r="A241" s="640"/>
      <c r="B241" s="511" t="s">
        <v>1786</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56">
        <f>AB239-(AB239*AB240)</f>
        <v>0</v>
      </c>
      <c r="AC241" s="2056"/>
      <c r="AD241" s="2056"/>
      <c r="AE241" s="2056"/>
      <c r="AF241" s="2056"/>
      <c r="AG241" s="2056"/>
      <c r="AH241" s="645"/>
      <c r="AI241" s="645"/>
      <c r="AJ241" s="645"/>
      <c r="AK241" s="645"/>
    </row>
    <row r="242" spans="1:37">
      <c r="A242" s="640"/>
      <c r="B242" s="511" t="s">
        <v>1787</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1788</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85">
        <f>AB241/AB247</f>
        <v>0</v>
      </c>
      <c r="AC243" s="1885"/>
      <c r="AD243" s="1885"/>
      <c r="AE243" s="1885"/>
      <c r="AF243" s="1885"/>
      <c r="AG243" s="1885"/>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1789</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67">
        <v>15</v>
      </c>
      <c r="AC245" s="2067"/>
      <c r="AD245" s="2067"/>
      <c r="AE245" s="2067"/>
      <c r="AF245" s="2067"/>
      <c r="AG245" s="2067"/>
      <c r="AH245" s="645"/>
      <c r="AI245" s="645"/>
      <c r="AJ245" s="645"/>
      <c r="AK245" s="645"/>
    </row>
    <row r="246" spans="1:37">
      <c r="A246" s="640"/>
      <c r="B246" s="511" t="s">
        <v>1790</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58">
        <v>0.04</v>
      </c>
      <c r="AC246" s="2058"/>
      <c r="AD246" s="2058"/>
      <c r="AE246" s="2058"/>
      <c r="AF246" s="2058"/>
      <c r="AG246" s="2058"/>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59">
        <v>1.1499999999999999</v>
      </c>
      <c r="AC247" s="2059"/>
      <c r="AD247" s="2059"/>
      <c r="AE247" s="2059"/>
      <c r="AF247" s="2059"/>
      <c r="AG247" s="2059"/>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1791</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48">
        <f>PV(AB246/12,AB245*12,-AB243/12, ,0)</f>
        <v>0</v>
      </c>
      <c r="AC249" s="2049"/>
      <c r="AD249" s="2049"/>
      <c r="AE249" s="2049"/>
      <c r="AF249" s="2049"/>
      <c r="AG249" s="2050"/>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1767</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1770</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1769</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1768</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52">
        <f>IFERROR(('Sources and Uses Budget'!D105/'Sources and Uses Budget'!B105),0)</f>
        <v>0</v>
      </c>
      <c r="AC255" s="2053"/>
      <c r="AD255" s="2053"/>
      <c r="AE255" s="2053"/>
      <c r="AF255" s="2053"/>
      <c r="AG255" s="2054"/>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1544</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899">
        <f>AD200*(1-AB255)</f>
        <v>4469462</v>
      </c>
      <c r="AH257" s="1899"/>
      <c r="AI257" s="1899"/>
      <c r="AJ257" s="1899"/>
      <c r="AK257" s="1899"/>
    </row>
    <row r="258" spans="1:52">
      <c r="A258" s="657"/>
      <c r="B258" s="660" t="s">
        <v>1545</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899">
        <f>'Sources and Uses Budget'!C105</f>
        <v>89389242</v>
      </c>
      <c r="AH258" s="1899"/>
      <c r="AI258" s="1899"/>
      <c r="AJ258" s="1899"/>
      <c r="AK258" s="1899"/>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44">
        <f>ROUNDDOWN(IF(AND(C281="Yes",AK78=10),((AG257*2)/AG258),AG257/AG258),2)</f>
        <v>0.09</v>
      </c>
      <c r="AH259" s="2044"/>
      <c r="AI259" s="2044"/>
      <c r="AJ259" s="2044"/>
      <c r="AK259" s="2044"/>
    </row>
    <row r="260" spans="1:52">
      <c r="A260" s="657"/>
      <c r="B260" s="1015" t="s">
        <v>2000</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1546</v>
      </c>
      <c r="AK262" s="2033">
        <f>IFERROR(IF(AG259=0,0,IF((AG259*100)&gt;8,8,(AG259*100))),0)</f>
        <v>8</v>
      </c>
      <c r="AL262" s="2033"/>
      <c r="AM262" s="2034"/>
    </row>
    <row r="263" spans="1:52" ht="13.8"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1547</v>
      </c>
      <c r="B265" s="573" t="s">
        <v>1548</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1485</v>
      </c>
      <c r="AI265" s="585"/>
      <c r="AJ265" s="585"/>
      <c r="AK265" s="585"/>
      <c r="AL265" s="585"/>
      <c r="AM265" s="585"/>
      <c r="AO265" s="585"/>
    </row>
    <row r="266" spans="1:52" ht="14.25" customHeight="1">
      <c r="A266" s="626"/>
      <c r="AI266" s="586"/>
      <c r="AJ266" s="585"/>
      <c r="AK266" s="585"/>
      <c r="AL266" s="585"/>
      <c r="AM266" s="585"/>
      <c r="AO266" s="585"/>
    </row>
    <row r="267" spans="1:52" ht="13.65" customHeight="1">
      <c r="A267" s="585"/>
      <c r="B267" s="631"/>
      <c r="C267" s="1917" t="s">
        <v>555</v>
      </c>
      <c r="D267" s="1917"/>
      <c r="E267" s="582"/>
      <c r="F267" s="1868" t="s">
        <v>2419</v>
      </c>
      <c r="G267" s="1869"/>
      <c r="H267" s="1869"/>
      <c r="I267" s="1869"/>
      <c r="J267" s="1869"/>
      <c r="K267" s="1869"/>
      <c r="L267" s="1869"/>
      <c r="M267" s="1869"/>
      <c r="N267" s="1869"/>
      <c r="O267" s="1869"/>
      <c r="P267" s="1869"/>
      <c r="Q267" s="1869"/>
      <c r="R267" s="1869"/>
      <c r="S267" s="1869"/>
      <c r="T267" s="1869"/>
      <c r="U267" s="1869"/>
      <c r="V267" s="1869"/>
      <c r="W267" s="1869"/>
      <c r="X267" s="1869"/>
      <c r="Y267" s="1869"/>
      <c r="Z267" s="1869"/>
      <c r="AA267" s="1869"/>
      <c r="AB267" s="1869"/>
      <c r="AC267" s="1869"/>
      <c r="AD267" s="1870"/>
      <c r="AE267" s="585"/>
      <c r="AF267" s="670"/>
      <c r="AG267" s="2042" t="s">
        <v>1534</v>
      </c>
      <c r="AH267" s="2042"/>
      <c r="AI267" s="2042"/>
      <c r="AJ267" s="2042"/>
      <c r="AK267" s="585"/>
      <c r="AL267" s="585"/>
      <c r="AM267" s="585"/>
      <c r="AO267" s="585"/>
    </row>
    <row r="268" spans="1:52" ht="13.65" customHeight="1">
      <c r="A268" s="585"/>
      <c r="B268" s="631"/>
      <c r="C268" s="671"/>
      <c r="D268" s="585"/>
      <c r="E268" s="582"/>
      <c r="F268" s="1871"/>
      <c r="G268" s="1872"/>
      <c r="H268" s="1872"/>
      <c r="I268" s="1872"/>
      <c r="J268" s="1872"/>
      <c r="K268" s="1872"/>
      <c r="L268" s="1872"/>
      <c r="M268" s="1872"/>
      <c r="N268" s="1872"/>
      <c r="O268" s="1872"/>
      <c r="P268" s="1872"/>
      <c r="Q268" s="1872"/>
      <c r="R268" s="1872"/>
      <c r="S268" s="1872"/>
      <c r="T268" s="1872"/>
      <c r="U268" s="1872"/>
      <c r="V268" s="1872"/>
      <c r="W268" s="1872"/>
      <c r="X268" s="1872"/>
      <c r="Y268" s="1872"/>
      <c r="Z268" s="1872"/>
      <c r="AA268" s="1872"/>
      <c r="AB268" s="1872"/>
      <c r="AC268" s="1872"/>
      <c r="AD268" s="1873"/>
      <c r="AE268" s="585"/>
      <c r="AF268" s="670"/>
      <c r="AG268" s="670"/>
      <c r="AH268" s="670"/>
      <c r="AI268" s="670"/>
      <c r="AJ268" s="585"/>
      <c r="AK268" s="585"/>
      <c r="AL268" s="585"/>
      <c r="AM268" s="585"/>
      <c r="AO268" s="585"/>
    </row>
    <row r="269" spans="1:52">
      <c r="A269" s="585"/>
      <c r="B269" s="631"/>
      <c r="C269" s="671"/>
      <c r="D269" s="585"/>
      <c r="E269" s="582"/>
      <c r="F269" s="1871"/>
      <c r="G269" s="1872"/>
      <c r="H269" s="1872"/>
      <c r="I269" s="1872"/>
      <c r="J269" s="1872"/>
      <c r="K269" s="1872"/>
      <c r="L269" s="1872"/>
      <c r="M269" s="1872"/>
      <c r="N269" s="1872"/>
      <c r="O269" s="1872"/>
      <c r="P269" s="1872"/>
      <c r="Q269" s="1872"/>
      <c r="R269" s="1872"/>
      <c r="S269" s="1872"/>
      <c r="T269" s="1872"/>
      <c r="U269" s="1872"/>
      <c r="V269" s="1872"/>
      <c r="W269" s="1872"/>
      <c r="X269" s="1872"/>
      <c r="Y269" s="1872"/>
      <c r="Z269" s="1872"/>
      <c r="AA269" s="1872"/>
      <c r="AB269" s="1872"/>
      <c r="AC269" s="1872"/>
      <c r="AD269" s="1873"/>
      <c r="AE269" s="585"/>
      <c r="AF269" s="670"/>
      <c r="AG269" s="670"/>
      <c r="AH269" s="670"/>
      <c r="AI269" s="670"/>
      <c r="AJ269" s="585"/>
      <c r="AK269" s="585"/>
      <c r="AL269" s="585"/>
      <c r="AM269" s="585"/>
      <c r="AO269" s="585"/>
      <c r="AP269" s="672"/>
    </row>
    <row r="270" spans="1:52">
      <c r="A270" s="585"/>
      <c r="B270" s="631"/>
      <c r="C270" s="671"/>
      <c r="D270" s="585"/>
      <c r="E270" s="582"/>
      <c r="F270" s="1871"/>
      <c r="G270" s="1872"/>
      <c r="H270" s="1872"/>
      <c r="I270" s="1872"/>
      <c r="J270" s="1872"/>
      <c r="K270" s="1872"/>
      <c r="L270" s="1872"/>
      <c r="M270" s="1872"/>
      <c r="N270" s="1872"/>
      <c r="O270" s="1872"/>
      <c r="P270" s="1872"/>
      <c r="Q270" s="1872"/>
      <c r="R270" s="1872"/>
      <c r="S270" s="1872"/>
      <c r="T270" s="1872"/>
      <c r="U270" s="1872"/>
      <c r="V270" s="1872"/>
      <c r="W270" s="1872"/>
      <c r="X270" s="1872"/>
      <c r="Y270" s="1872"/>
      <c r="Z270" s="1872"/>
      <c r="AA270" s="1872"/>
      <c r="AB270" s="1872"/>
      <c r="AC270" s="1872"/>
      <c r="AD270" s="1873"/>
      <c r="AE270" s="585"/>
      <c r="AF270" s="670"/>
      <c r="AG270" s="670"/>
      <c r="AH270" s="670"/>
      <c r="AI270" s="670"/>
      <c r="AJ270" s="585"/>
      <c r="AK270" s="585"/>
      <c r="AL270" s="585"/>
      <c r="AM270" s="585"/>
      <c r="AO270" s="585"/>
      <c r="AP270" s="672"/>
    </row>
    <row r="271" spans="1:52" ht="13.65" customHeight="1">
      <c r="A271" s="585"/>
      <c r="B271" s="631"/>
      <c r="C271" s="2043"/>
      <c r="D271" s="2043"/>
      <c r="E271" s="582"/>
      <c r="F271" s="1874"/>
      <c r="G271" s="1875"/>
      <c r="H271" s="1875"/>
      <c r="I271" s="1875"/>
      <c r="J271" s="1875"/>
      <c r="K271" s="1875"/>
      <c r="L271" s="1875"/>
      <c r="M271" s="1875"/>
      <c r="N271" s="1875"/>
      <c r="O271" s="1875"/>
      <c r="P271" s="1875"/>
      <c r="Q271" s="1875"/>
      <c r="R271" s="1875"/>
      <c r="S271" s="1875"/>
      <c r="T271" s="1875"/>
      <c r="U271" s="1875"/>
      <c r="V271" s="1875"/>
      <c r="W271" s="1875"/>
      <c r="X271" s="1875"/>
      <c r="Y271" s="1875"/>
      <c r="Z271" s="1875"/>
      <c r="AA271" s="1875"/>
      <c r="AB271" s="1875"/>
      <c r="AC271" s="1875"/>
      <c r="AD271" s="1876"/>
      <c r="AE271" s="585"/>
      <c r="AF271" s="670"/>
      <c r="AG271" s="2042"/>
      <c r="AH271" s="2042"/>
      <c r="AI271" s="2042"/>
      <c r="AJ271" s="2042"/>
      <c r="AK271" s="585"/>
      <c r="AL271" s="585"/>
      <c r="AM271" s="585"/>
    </row>
    <row r="272" spans="1:52" ht="13.6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1550</v>
      </c>
      <c r="AK274" s="2033">
        <f>IF($C$267="yes",10,0)</f>
        <v>10</v>
      </c>
      <c r="AL274" s="2033"/>
      <c r="AM274" s="2034"/>
      <c r="AN274" s="73"/>
    </row>
    <row r="275" spans="1:49" ht="13.8" thickBot="1"/>
    <row r="276" spans="1:49" ht="13.8"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1551</v>
      </c>
      <c r="B277" s="573" t="s">
        <v>2115</v>
      </c>
      <c r="AH277" s="626" t="s">
        <v>1485</v>
      </c>
    </row>
    <row r="278" spans="1:49" ht="15" customHeight="1">
      <c r="B278" s="574"/>
    </row>
    <row r="279" spans="1:49" ht="15" customHeight="1">
      <c r="B279" s="574" t="s">
        <v>1987</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11" t="s">
        <v>1553</v>
      </c>
      <c r="B281" s="1611"/>
      <c r="C281" s="2010" t="s">
        <v>555</v>
      </c>
      <c r="D281" s="1917"/>
      <c r="E281" s="582"/>
      <c r="F281" s="2035" t="s">
        <v>1554</v>
      </c>
      <c r="G281" s="2036"/>
      <c r="H281" s="2036"/>
      <c r="I281" s="2036"/>
      <c r="J281" s="2036"/>
      <c r="K281" s="2036"/>
      <c r="L281" s="2036"/>
      <c r="M281" s="2036"/>
      <c r="N281" s="2036"/>
      <c r="O281" s="2036"/>
      <c r="P281" s="2036"/>
      <c r="Q281" s="2036"/>
      <c r="R281" s="2036"/>
      <c r="S281" s="2036"/>
      <c r="T281" s="2036"/>
      <c r="U281" s="2036"/>
      <c r="V281" s="2036"/>
      <c r="W281" s="2036"/>
      <c r="X281" s="2036"/>
      <c r="Y281" s="2036"/>
      <c r="Z281" s="2036"/>
      <c r="AA281" s="2036"/>
      <c r="AB281" s="2036"/>
      <c r="AC281" s="2036"/>
      <c r="AD281" s="2037"/>
      <c r="AE281" s="677"/>
      <c r="AF281" s="585"/>
      <c r="AG281" s="2038" t="s">
        <v>2412</v>
      </c>
      <c r="AH281" s="2038"/>
      <c r="AI281" s="2038"/>
      <c r="AJ281" s="2038"/>
      <c r="AK281" s="2038"/>
      <c r="AL281" s="585"/>
      <c r="AM281" s="585"/>
      <c r="AN281" s="73"/>
      <c r="AO281" s="14"/>
      <c r="AP281" s="30"/>
      <c r="AS281" s="605"/>
      <c r="AT281" s="605"/>
      <c r="AU281" s="605"/>
      <c r="AV281" s="32"/>
      <c r="AW281" s="32"/>
    </row>
    <row r="282" spans="1:49">
      <c r="A282" s="675"/>
      <c r="B282" s="631"/>
      <c r="F282" s="1894"/>
      <c r="G282" s="1895"/>
      <c r="H282" s="1895"/>
      <c r="I282" s="1895"/>
      <c r="J282" s="1895"/>
      <c r="K282" s="1895"/>
      <c r="L282" s="1895"/>
      <c r="M282" s="1895"/>
      <c r="N282" s="1895"/>
      <c r="O282" s="1895"/>
      <c r="P282" s="1895"/>
      <c r="Q282" s="1895"/>
      <c r="R282" s="1895"/>
      <c r="S282" s="1895"/>
      <c r="T282" s="1895"/>
      <c r="U282" s="1895"/>
      <c r="V282" s="1895"/>
      <c r="W282" s="1895"/>
      <c r="X282" s="1895"/>
      <c r="Y282" s="1895"/>
      <c r="Z282" s="1895"/>
      <c r="AA282" s="1895"/>
      <c r="AB282" s="1895"/>
      <c r="AC282" s="1895"/>
      <c r="AD282" s="1896"/>
      <c r="AE282" s="677"/>
      <c r="AF282" s="586"/>
      <c r="AH282" s="586"/>
      <c r="AI282" s="586"/>
      <c r="AJ282" s="585"/>
      <c r="AK282" s="585"/>
      <c r="AL282" s="585"/>
      <c r="AM282" s="585"/>
      <c r="AN282" s="73"/>
      <c r="AO282" s="14"/>
      <c r="AP282" s="585">
        <f>IF($C$281="yes",10,IF(C281="50% Met",9,0))</f>
        <v>10</v>
      </c>
      <c r="AS282" s="605"/>
      <c r="AT282" s="605"/>
      <c r="AU282" s="605"/>
      <c r="AV282" s="32"/>
      <c r="AW282" s="32"/>
    </row>
    <row r="283" spans="1:49" ht="15" customHeight="1">
      <c r="A283" s="675"/>
      <c r="B283" s="631"/>
      <c r="F283" s="1894"/>
      <c r="G283" s="1895"/>
      <c r="H283" s="1895"/>
      <c r="I283" s="1895"/>
      <c r="J283" s="1895"/>
      <c r="K283" s="1895"/>
      <c r="L283" s="1895"/>
      <c r="M283" s="1895"/>
      <c r="N283" s="1895"/>
      <c r="O283" s="1895"/>
      <c r="P283" s="1895"/>
      <c r="Q283" s="1895"/>
      <c r="R283" s="1895"/>
      <c r="S283" s="1895"/>
      <c r="T283" s="1895"/>
      <c r="U283" s="1895"/>
      <c r="V283" s="1895"/>
      <c r="W283" s="1895"/>
      <c r="X283" s="1895"/>
      <c r="Y283" s="1895"/>
      <c r="Z283" s="1895"/>
      <c r="AA283" s="1895"/>
      <c r="AB283" s="1895"/>
      <c r="AC283" s="1895"/>
      <c r="AD283" s="1896"/>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894" t="s">
        <v>2420</v>
      </c>
      <c r="G284" s="1895"/>
      <c r="H284" s="1895"/>
      <c r="I284" s="1895"/>
      <c r="J284" s="1895"/>
      <c r="K284" s="1895"/>
      <c r="L284" s="1895"/>
      <c r="M284" s="1895"/>
      <c r="N284" s="1895"/>
      <c r="O284" s="1895"/>
      <c r="P284" s="1895"/>
      <c r="Q284" s="1895"/>
      <c r="R284" s="1895"/>
      <c r="S284" s="1895"/>
      <c r="T284" s="1895"/>
      <c r="U284" s="1895"/>
      <c r="V284" s="1895"/>
      <c r="W284" s="1895"/>
      <c r="X284" s="1895"/>
      <c r="Y284" s="1895"/>
      <c r="Z284" s="1895"/>
      <c r="AA284" s="1895"/>
      <c r="AB284" s="1895"/>
      <c r="AC284" s="1895"/>
      <c r="AD284" s="1896"/>
      <c r="AE284" s="677"/>
      <c r="AF284" s="586"/>
      <c r="AH284" s="586"/>
      <c r="AI284" s="586"/>
      <c r="AJ284" s="585"/>
      <c r="AK284" s="585"/>
      <c r="AL284" s="585"/>
      <c r="AM284" s="585"/>
      <c r="AN284" s="73"/>
      <c r="AO284" s="14"/>
      <c r="AP284" s="646">
        <f>MAX(AP282,AP283)</f>
        <v>10</v>
      </c>
      <c r="AQ284" s="609" t="s">
        <v>1487</v>
      </c>
      <c r="AS284" s="605"/>
      <c r="AT284" s="605"/>
      <c r="AU284" s="605"/>
      <c r="AV284" s="32"/>
      <c r="AW284" s="32"/>
    </row>
    <row r="285" spans="1:49">
      <c r="A285" s="675"/>
      <c r="B285" s="631"/>
      <c r="F285" s="1894"/>
      <c r="G285" s="1895"/>
      <c r="H285" s="1895"/>
      <c r="I285" s="1895"/>
      <c r="J285" s="1895"/>
      <c r="K285" s="1895"/>
      <c r="L285" s="1895"/>
      <c r="M285" s="1895"/>
      <c r="N285" s="1895"/>
      <c r="O285" s="1895"/>
      <c r="P285" s="1895"/>
      <c r="Q285" s="1895"/>
      <c r="R285" s="1895"/>
      <c r="S285" s="1895"/>
      <c r="T285" s="1895"/>
      <c r="U285" s="1895"/>
      <c r="V285" s="1895"/>
      <c r="W285" s="1895"/>
      <c r="X285" s="1895"/>
      <c r="Y285" s="1895"/>
      <c r="Z285" s="1895"/>
      <c r="AA285" s="1895"/>
      <c r="AB285" s="1895"/>
      <c r="AC285" s="1895"/>
      <c r="AD285" s="1896"/>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894" t="s">
        <v>1555</v>
      </c>
      <c r="G286" s="1895"/>
      <c r="H286" s="1895"/>
      <c r="I286" s="1895"/>
      <c r="J286" s="1895"/>
      <c r="K286" s="1895"/>
      <c r="L286" s="1895"/>
      <c r="M286" s="1895"/>
      <c r="N286" s="1895"/>
      <c r="O286" s="1895"/>
      <c r="P286" s="1895"/>
      <c r="Q286" s="1895"/>
      <c r="R286" s="1895"/>
      <c r="S286" s="1895"/>
      <c r="T286" s="1895"/>
      <c r="U286" s="1895"/>
      <c r="V286" s="1895"/>
      <c r="W286" s="1895"/>
      <c r="X286" s="1895"/>
      <c r="Y286" s="1895"/>
      <c r="Z286" s="1895"/>
      <c r="AA286" s="1895"/>
      <c r="AB286" s="1895"/>
      <c r="AC286" s="1895"/>
      <c r="AD286" s="1896"/>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894"/>
      <c r="G287" s="1895"/>
      <c r="H287" s="1895"/>
      <c r="I287" s="1895"/>
      <c r="J287" s="1895"/>
      <c r="K287" s="1895"/>
      <c r="L287" s="1895"/>
      <c r="M287" s="1895"/>
      <c r="N287" s="1895"/>
      <c r="O287" s="1895"/>
      <c r="P287" s="1895"/>
      <c r="Q287" s="1895"/>
      <c r="R287" s="1895"/>
      <c r="S287" s="1895"/>
      <c r="T287" s="1895"/>
      <c r="U287" s="1895"/>
      <c r="V287" s="1895"/>
      <c r="W287" s="1895"/>
      <c r="X287" s="1895"/>
      <c r="Y287" s="1895"/>
      <c r="Z287" s="1895"/>
      <c r="AA287" s="1895"/>
      <c r="AB287" s="1895"/>
      <c r="AC287" s="1895"/>
      <c r="AD287" s="1896"/>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894" t="s">
        <v>1556</v>
      </c>
      <c r="G288" s="1895"/>
      <c r="H288" s="1895"/>
      <c r="I288" s="1895"/>
      <c r="J288" s="1895"/>
      <c r="K288" s="1895"/>
      <c r="L288" s="1895"/>
      <c r="M288" s="1895"/>
      <c r="N288" s="1895"/>
      <c r="O288" s="1895"/>
      <c r="P288" s="1895"/>
      <c r="Q288" s="1895"/>
      <c r="R288" s="1895"/>
      <c r="S288" s="1895"/>
      <c r="T288" s="1895"/>
      <c r="U288" s="1895"/>
      <c r="V288" s="1895"/>
      <c r="W288" s="1895"/>
      <c r="X288" s="1895"/>
      <c r="Y288" s="1895"/>
      <c r="Z288" s="1895"/>
      <c r="AA288" s="1895"/>
      <c r="AB288" s="1895"/>
      <c r="AC288" s="1895"/>
      <c r="AD288" s="1896"/>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897"/>
      <c r="G289" s="1898"/>
      <c r="H289" s="1898"/>
      <c r="I289" s="1898"/>
      <c r="J289" s="1898"/>
      <c r="K289" s="1898"/>
      <c r="L289" s="1898"/>
      <c r="M289" s="1898"/>
      <c r="N289" s="1898"/>
      <c r="O289" s="1898"/>
      <c r="P289" s="1898"/>
      <c r="Q289" s="1898"/>
      <c r="R289" s="1898"/>
      <c r="S289" s="1898"/>
      <c r="T289" s="1898"/>
      <c r="U289" s="1898"/>
      <c r="V289" s="1898"/>
      <c r="W289" s="1898"/>
      <c r="X289" s="1898"/>
      <c r="Y289" s="1898"/>
      <c r="Z289" s="1898"/>
      <c r="AA289" s="1898"/>
      <c r="AB289" s="1898"/>
      <c r="AC289" s="1898"/>
      <c r="AD289" s="2032"/>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11" t="s">
        <v>1557</v>
      </c>
      <c r="B291" s="1611"/>
      <c r="C291" s="1917" t="s">
        <v>601</v>
      </c>
      <c r="D291" s="1917"/>
      <c r="E291" s="582"/>
      <c r="F291" s="679" t="s">
        <v>2413</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1559</v>
      </c>
      <c r="AH291" s="586"/>
      <c r="AI291" s="586"/>
      <c r="AJ291" s="585"/>
      <c r="AK291" s="585"/>
      <c r="AL291" s="585"/>
      <c r="AM291" s="585"/>
      <c r="AN291" s="682"/>
      <c r="AO291" s="14"/>
    </row>
    <row r="292" spans="1:49">
      <c r="A292" s="585"/>
      <c r="B292" s="586"/>
      <c r="C292" s="585"/>
      <c r="D292" s="586"/>
      <c r="E292" s="585"/>
      <c r="F292" s="2017" t="s">
        <v>2414</v>
      </c>
      <c r="G292" s="2018"/>
      <c r="H292" s="2018"/>
      <c r="I292" s="2018"/>
      <c r="J292" s="2018"/>
      <c r="K292" s="2018"/>
      <c r="L292" s="2018"/>
      <c r="M292" s="2018"/>
      <c r="N292" s="2018"/>
      <c r="O292" s="2018"/>
      <c r="P292" s="2018"/>
      <c r="Q292" s="2018"/>
      <c r="R292" s="2018"/>
      <c r="S292" s="2018"/>
      <c r="T292" s="2018"/>
      <c r="U292" s="2018"/>
      <c r="V292" s="2018"/>
      <c r="W292" s="2018"/>
      <c r="X292" s="2018"/>
      <c r="Y292" s="2018"/>
      <c r="Z292" s="2018"/>
      <c r="AA292" s="2018"/>
      <c r="AB292" s="2018"/>
      <c r="AC292" s="2018"/>
      <c r="AD292" s="2019"/>
      <c r="AE292" s="586"/>
      <c r="AF292" s="586"/>
      <c r="AG292" s="586"/>
      <c r="AH292" s="586"/>
      <c r="AI292" s="586"/>
      <c r="AJ292" s="585"/>
      <c r="AK292" s="585"/>
      <c r="AL292" s="585"/>
      <c r="AM292" s="585"/>
      <c r="AR292" s="683"/>
    </row>
    <row r="293" spans="1:49" ht="15" customHeight="1">
      <c r="A293" s="585"/>
      <c r="B293" s="586"/>
      <c r="C293" s="585"/>
      <c r="D293" s="586"/>
      <c r="E293" s="585"/>
      <c r="F293" s="2017"/>
      <c r="G293" s="2018"/>
      <c r="H293" s="2018"/>
      <c r="I293" s="2018"/>
      <c r="J293" s="2018"/>
      <c r="K293" s="2018"/>
      <c r="L293" s="2018"/>
      <c r="M293" s="2018"/>
      <c r="N293" s="2018"/>
      <c r="O293" s="2018"/>
      <c r="P293" s="2018"/>
      <c r="Q293" s="2018"/>
      <c r="R293" s="2018"/>
      <c r="S293" s="2018"/>
      <c r="T293" s="2018"/>
      <c r="U293" s="2018"/>
      <c r="V293" s="2018"/>
      <c r="W293" s="2018"/>
      <c r="X293" s="2018"/>
      <c r="Y293" s="2018"/>
      <c r="Z293" s="2018"/>
      <c r="AA293" s="2018"/>
      <c r="AB293" s="2018"/>
      <c r="AC293" s="2018"/>
      <c r="AD293" s="2019"/>
      <c r="AE293" s="586"/>
      <c r="AF293" s="586"/>
      <c r="AG293" s="586"/>
      <c r="AH293" s="586"/>
      <c r="AI293" s="586"/>
      <c r="AJ293" s="585"/>
      <c r="AK293" s="585"/>
      <c r="AL293" s="585"/>
      <c r="AM293" s="585"/>
      <c r="AR293" s="683"/>
    </row>
    <row r="294" spans="1:49">
      <c r="A294" s="585"/>
      <c r="B294" s="586"/>
      <c r="C294" s="585"/>
      <c r="D294" s="586"/>
      <c r="E294" s="585"/>
      <c r="F294" s="2017"/>
      <c r="G294" s="2018"/>
      <c r="H294" s="2018"/>
      <c r="I294" s="2018"/>
      <c r="J294" s="2018"/>
      <c r="K294" s="2018"/>
      <c r="L294" s="2018"/>
      <c r="M294" s="2018"/>
      <c r="N294" s="2018"/>
      <c r="O294" s="2018"/>
      <c r="P294" s="2018"/>
      <c r="Q294" s="2018"/>
      <c r="R294" s="2018"/>
      <c r="S294" s="2018"/>
      <c r="T294" s="2018"/>
      <c r="U294" s="2018"/>
      <c r="V294" s="2018"/>
      <c r="W294" s="2018"/>
      <c r="X294" s="2018"/>
      <c r="Y294" s="2018"/>
      <c r="Z294" s="2018"/>
      <c r="AA294" s="2018"/>
      <c r="AB294" s="2018"/>
      <c r="AC294" s="2018"/>
      <c r="AD294" s="2019"/>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39"/>
      <c r="G295" s="2040"/>
      <c r="H295" s="2040"/>
      <c r="I295" s="2040"/>
      <c r="J295" s="2040"/>
      <c r="K295" s="2040"/>
      <c r="L295" s="2040"/>
      <c r="M295" s="2040"/>
      <c r="N295" s="2040"/>
      <c r="O295" s="2040"/>
      <c r="P295" s="2040"/>
      <c r="Q295" s="2040"/>
      <c r="R295" s="2040"/>
      <c r="S295" s="2040"/>
      <c r="T295" s="2040"/>
      <c r="U295" s="2040"/>
      <c r="V295" s="2040"/>
      <c r="W295" s="2040"/>
      <c r="X295" s="2040"/>
      <c r="Y295" s="2040"/>
      <c r="Z295" s="2040"/>
      <c r="AA295" s="2040"/>
      <c r="AB295" s="2040"/>
      <c r="AC295" s="2040"/>
      <c r="AD295" s="2041"/>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11" t="s">
        <v>1560</v>
      </c>
      <c r="B299" s="1611"/>
      <c r="C299" s="1917" t="s">
        <v>601</v>
      </c>
      <c r="D299" s="1917"/>
      <c r="E299" s="582"/>
      <c r="F299" s="679" t="s">
        <v>1558</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1559</v>
      </c>
      <c r="AH299" s="586"/>
      <c r="AI299" s="586"/>
      <c r="AJ299" s="585"/>
      <c r="AK299" s="585"/>
      <c r="AL299" s="585"/>
      <c r="AM299" s="585"/>
      <c r="AN299" s="73"/>
      <c r="AO299" s="14"/>
    </row>
    <row r="300" spans="1:49" hidden="1">
      <c r="A300" s="89"/>
      <c r="B300" s="89"/>
      <c r="C300" s="765"/>
      <c r="D300" s="765"/>
      <c r="E300" s="582"/>
      <c r="F300" s="1894" t="s">
        <v>2421</v>
      </c>
      <c r="G300" s="1895"/>
      <c r="H300" s="1895"/>
      <c r="I300" s="1895"/>
      <c r="J300" s="1895"/>
      <c r="K300" s="1895"/>
      <c r="L300" s="1895"/>
      <c r="M300" s="1895"/>
      <c r="N300" s="1895"/>
      <c r="O300" s="1895"/>
      <c r="P300" s="1895"/>
      <c r="Q300" s="1895"/>
      <c r="R300" s="1895"/>
      <c r="S300" s="1895"/>
      <c r="T300" s="1895"/>
      <c r="U300" s="1895"/>
      <c r="V300" s="1895"/>
      <c r="W300" s="1895"/>
      <c r="X300" s="1895"/>
      <c r="Y300" s="1895"/>
      <c r="Z300" s="1895"/>
      <c r="AA300" s="1895"/>
      <c r="AB300" s="1895"/>
      <c r="AC300" s="1895"/>
      <c r="AD300" s="1896"/>
      <c r="AE300" s="586"/>
      <c r="AF300" s="586"/>
      <c r="AG300" s="574"/>
      <c r="AH300" s="586"/>
      <c r="AI300" s="586"/>
      <c r="AJ300" s="585"/>
      <c r="AK300" s="585"/>
      <c r="AL300" s="585"/>
      <c r="AM300" s="585"/>
      <c r="AN300" s="73"/>
      <c r="AO300" s="14"/>
      <c r="AP300" s="592" t="s">
        <v>1326</v>
      </c>
    </row>
    <row r="301" spans="1:49" hidden="1">
      <c r="F301" s="1894"/>
      <c r="G301" s="1895"/>
      <c r="H301" s="1895"/>
      <c r="I301" s="1895"/>
      <c r="J301" s="1895"/>
      <c r="K301" s="1895"/>
      <c r="L301" s="1895"/>
      <c r="M301" s="1895"/>
      <c r="N301" s="1895"/>
      <c r="O301" s="1895"/>
      <c r="P301" s="1895"/>
      <c r="Q301" s="1895"/>
      <c r="R301" s="1895"/>
      <c r="S301" s="1895"/>
      <c r="T301" s="1895"/>
      <c r="U301" s="1895"/>
      <c r="V301" s="1895"/>
      <c r="W301" s="1895"/>
      <c r="X301" s="1895"/>
      <c r="Y301" s="1895"/>
      <c r="Z301" s="1895"/>
      <c r="AA301" s="1895"/>
      <c r="AB301" s="1895"/>
      <c r="AC301" s="1895"/>
      <c r="AD301" s="1896"/>
      <c r="AE301" s="586"/>
      <c r="AF301" s="586"/>
      <c r="AH301" s="586"/>
      <c r="AI301" s="586"/>
      <c r="AJ301" s="585"/>
      <c r="AK301" s="585"/>
      <c r="AL301" s="585"/>
      <c r="AM301" s="585"/>
      <c r="AN301" s="73"/>
      <c r="AO301" s="14"/>
      <c r="AP301" s="592" t="s">
        <v>1989</v>
      </c>
    </row>
    <row r="302" spans="1:49" hidden="1">
      <c r="A302" s="585"/>
      <c r="B302" s="586"/>
      <c r="C302" s="765"/>
      <c r="D302" s="765"/>
      <c r="E302" s="582"/>
      <c r="F302" s="687" t="s">
        <v>1561</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1991</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2117</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20" t="s">
        <v>1326</v>
      </c>
      <c r="G305" s="2021"/>
      <c r="H305" s="2021"/>
      <c r="I305" s="2021"/>
      <c r="J305" s="2021"/>
      <c r="K305" s="2021"/>
      <c r="L305" s="2021"/>
      <c r="M305" s="2021"/>
      <c r="N305" s="2021"/>
      <c r="O305" s="2021"/>
      <c r="P305" s="2021"/>
      <c r="Q305" s="2021"/>
      <c r="R305" s="2021"/>
      <c r="S305" s="2021"/>
      <c r="T305" s="2021"/>
      <c r="U305" s="2021"/>
      <c r="V305" s="2021"/>
      <c r="W305" s="2021"/>
      <c r="X305" s="2021"/>
      <c r="Y305" s="2021"/>
      <c r="Z305" s="2021"/>
      <c r="AA305" s="2021"/>
      <c r="AB305" s="2021"/>
      <c r="AC305" s="2021"/>
      <c r="AD305" s="2022"/>
      <c r="AE305" s="677"/>
      <c r="AF305" s="677"/>
      <c r="AG305" s="677"/>
      <c r="AH305" s="677"/>
      <c r="AI305" s="677"/>
      <c r="AJ305" s="677"/>
      <c r="AK305" s="677"/>
      <c r="AL305" s="585"/>
      <c r="AM305" s="585"/>
      <c r="AN305" s="73"/>
      <c r="AO305" s="14"/>
      <c r="AP305" s="30"/>
    </row>
    <row r="306" spans="1:42" hidden="1">
      <c r="A306" s="585"/>
      <c r="B306" s="586"/>
      <c r="C306" s="765"/>
      <c r="D306" s="765"/>
      <c r="E306" s="582"/>
      <c r="F306" s="2020"/>
      <c r="G306" s="2021"/>
      <c r="H306" s="2021"/>
      <c r="I306" s="2021"/>
      <c r="J306" s="2021"/>
      <c r="K306" s="2021"/>
      <c r="L306" s="2021"/>
      <c r="M306" s="2021"/>
      <c r="N306" s="2021"/>
      <c r="O306" s="2021"/>
      <c r="P306" s="2021"/>
      <c r="Q306" s="2021"/>
      <c r="R306" s="2021"/>
      <c r="S306" s="2021"/>
      <c r="T306" s="2021"/>
      <c r="U306" s="2021"/>
      <c r="V306" s="2021"/>
      <c r="W306" s="2021"/>
      <c r="X306" s="2021"/>
      <c r="Y306" s="2021"/>
      <c r="Z306" s="2021"/>
      <c r="AA306" s="2021"/>
      <c r="AB306" s="2021"/>
      <c r="AC306" s="2021"/>
      <c r="AD306" s="2022"/>
      <c r="AE306" s="586"/>
      <c r="AF306" s="586"/>
      <c r="AG306" s="574"/>
      <c r="AH306" s="586"/>
      <c r="AI306" s="586"/>
      <c r="AJ306" s="585"/>
      <c r="AK306" s="585"/>
      <c r="AL306" s="585"/>
      <c r="AM306" s="585"/>
      <c r="AN306" s="73"/>
      <c r="AO306" s="14"/>
      <c r="AP306" s="30"/>
    </row>
    <row r="307" spans="1:42" hidden="1">
      <c r="A307" s="585"/>
      <c r="B307" s="586"/>
      <c r="C307" s="765"/>
      <c r="D307" s="765"/>
      <c r="E307" s="582"/>
      <c r="F307" s="2020"/>
      <c r="G307" s="2021"/>
      <c r="H307" s="2021"/>
      <c r="I307" s="2021"/>
      <c r="J307" s="2021"/>
      <c r="K307" s="2021"/>
      <c r="L307" s="2021"/>
      <c r="M307" s="2021"/>
      <c r="N307" s="2021"/>
      <c r="O307" s="2021"/>
      <c r="P307" s="2021"/>
      <c r="Q307" s="2021"/>
      <c r="R307" s="2021"/>
      <c r="S307" s="2021"/>
      <c r="T307" s="2021"/>
      <c r="U307" s="2021"/>
      <c r="V307" s="2021"/>
      <c r="W307" s="2021"/>
      <c r="X307" s="2021"/>
      <c r="Y307" s="2021"/>
      <c r="Z307" s="2021"/>
      <c r="AA307" s="2021"/>
      <c r="AB307" s="2021"/>
      <c r="AC307" s="2021"/>
      <c r="AD307" s="2022"/>
      <c r="AE307" s="586"/>
      <c r="AF307" s="586"/>
      <c r="AG307" s="574"/>
      <c r="AH307" s="586"/>
      <c r="AI307" s="586"/>
      <c r="AJ307" s="585"/>
      <c r="AK307" s="585"/>
      <c r="AL307" s="585"/>
      <c r="AM307" s="585"/>
      <c r="AN307" s="73"/>
      <c r="AO307" s="14"/>
      <c r="AP307" s="30"/>
    </row>
    <row r="308" spans="1:42" hidden="1">
      <c r="A308" s="585"/>
      <c r="B308" s="586"/>
      <c r="C308" s="765"/>
      <c r="D308" s="765"/>
      <c r="E308" s="582"/>
      <c r="F308" s="2020"/>
      <c r="G308" s="2021"/>
      <c r="H308" s="2021"/>
      <c r="I308" s="2021"/>
      <c r="J308" s="2021"/>
      <c r="K308" s="2021"/>
      <c r="L308" s="2021"/>
      <c r="M308" s="2021"/>
      <c r="N308" s="2021"/>
      <c r="O308" s="2021"/>
      <c r="P308" s="2021"/>
      <c r="Q308" s="2021"/>
      <c r="R308" s="2021"/>
      <c r="S308" s="2021"/>
      <c r="T308" s="2021"/>
      <c r="U308" s="2021"/>
      <c r="V308" s="2021"/>
      <c r="W308" s="2021"/>
      <c r="X308" s="2021"/>
      <c r="Y308" s="2021"/>
      <c r="Z308" s="2021"/>
      <c r="AA308" s="2021"/>
      <c r="AB308" s="2021"/>
      <c r="AC308" s="2021"/>
      <c r="AD308" s="2022"/>
      <c r="AE308" s="586"/>
      <c r="AF308" s="586"/>
      <c r="AG308" s="574"/>
      <c r="AH308" s="586"/>
      <c r="AI308" s="586"/>
      <c r="AJ308" s="585"/>
      <c r="AK308" s="585"/>
      <c r="AL308" s="585"/>
      <c r="AM308" s="585"/>
      <c r="AN308" s="73"/>
      <c r="AO308" s="14"/>
      <c r="AP308" s="30"/>
    </row>
    <row r="309" spans="1:42" hidden="1">
      <c r="A309" s="585"/>
      <c r="B309" s="586"/>
      <c r="C309" s="765"/>
      <c r="D309" s="765"/>
      <c r="E309" s="582"/>
      <c r="F309" s="2023"/>
      <c r="G309" s="2024"/>
      <c r="H309" s="2024"/>
      <c r="I309" s="2024"/>
      <c r="J309" s="2024"/>
      <c r="K309" s="2024"/>
      <c r="L309" s="2024"/>
      <c r="M309" s="2024"/>
      <c r="N309" s="2024"/>
      <c r="O309" s="2024"/>
      <c r="P309" s="2024"/>
      <c r="Q309" s="2024"/>
      <c r="R309" s="2024"/>
      <c r="S309" s="2024"/>
      <c r="T309" s="2024"/>
      <c r="U309" s="2024"/>
      <c r="V309" s="2024"/>
      <c r="W309" s="2024"/>
      <c r="X309" s="2024"/>
      <c r="Y309" s="2024"/>
      <c r="Z309" s="2024"/>
      <c r="AA309" s="2024"/>
      <c r="AB309" s="2024"/>
      <c r="AC309" s="2024"/>
      <c r="AD309" s="2025"/>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1990</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1326</v>
      </c>
    </row>
    <row r="313" spans="1:42" ht="12.75" hidden="1" customHeight="1">
      <c r="A313" s="585"/>
      <c r="B313" s="586"/>
      <c r="C313" s="765"/>
      <c r="D313" s="765"/>
      <c r="E313" s="582"/>
      <c r="F313" s="691"/>
      <c r="G313" s="610" t="s">
        <v>698</v>
      </c>
      <c r="H313" s="610"/>
      <c r="I313" s="2026" t="s">
        <v>1326</v>
      </c>
      <c r="J313" s="2026"/>
      <c r="K313" s="2026"/>
      <c r="L313" s="2026"/>
      <c r="M313" s="2026"/>
      <c r="N313" s="2026"/>
      <c r="O313" s="2026"/>
      <c r="P313" s="2026"/>
      <c r="Q313" s="2026"/>
      <c r="R313" s="2026"/>
      <c r="S313" s="2026"/>
      <c r="T313" s="2026"/>
      <c r="U313" s="2026"/>
      <c r="V313" s="2026"/>
      <c r="W313" s="2026"/>
      <c r="X313" s="2026"/>
      <c r="Y313" s="2026"/>
      <c r="Z313" s="2026"/>
      <c r="AA313" s="2026"/>
      <c r="AB313" s="2026"/>
      <c r="AC313" s="2026"/>
      <c r="AD313" s="2027"/>
      <c r="AE313" s="586"/>
      <c r="AF313" s="586"/>
      <c r="AG313" s="574"/>
      <c r="AH313" s="586"/>
      <c r="AI313" s="586"/>
      <c r="AJ313" s="585"/>
      <c r="AK313" s="585"/>
      <c r="AL313" s="585"/>
      <c r="AM313" s="585"/>
      <c r="AN313" s="73"/>
      <c r="AO313" s="14"/>
      <c r="AP313" s="592" t="s">
        <v>1816</v>
      </c>
    </row>
    <row r="314" spans="1:42" hidden="1">
      <c r="A314" s="585"/>
      <c r="B314" s="586"/>
      <c r="C314" s="765"/>
      <c r="D314" s="765"/>
      <c r="E314" s="582"/>
      <c r="F314" s="691"/>
      <c r="G314" s="610"/>
      <c r="H314" s="610"/>
      <c r="I314" s="2026"/>
      <c r="J314" s="2026"/>
      <c r="K314" s="2026"/>
      <c r="L314" s="2026"/>
      <c r="M314" s="2026"/>
      <c r="N314" s="2026"/>
      <c r="O314" s="2026"/>
      <c r="P314" s="2026"/>
      <c r="Q314" s="2026"/>
      <c r="R314" s="2026"/>
      <c r="S314" s="2026"/>
      <c r="T314" s="2026"/>
      <c r="U314" s="2026"/>
      <c r="V314" s="2026"/>
      <c r="W314" s="2026"/>
      <c r="X314" s="2026"/>
      <c r="Y314" s="2026"/>
      <c r="Z314" s="2026"/>
      <c r="AA314" s="2026"/>
      <c r="AB314" s="2026"/>
      <c r="AC314" s="2026"/>
      <c r="AD314" s="2027"/>
      <c r="AE314" s="586"/>
      <c r="AF314" s="586"/>
      <c r="AG314" s="574"/>
      <c r="AH314" s="586"/>
      <c r="AI314" s="586"/>
      <c r="AJ314" s="585"/>
      <c r="AK314" s="585"/>
      <c r="AL314" s="585"/>
      <c r="AM314" s="585"/>
      <c r="AN314" s="73"/>
      <c r="AO314" s="14"/>
      <c r="AP314" s="592" t="s">
        <v>1992</v>
      </c>
    </row>
    <row r="315" spans="1:42" hidden="1">
      <c r="A315" s="585"/>
      <c r="B315" s="586"/>
      <c r="C315" s="686"/>
      <c r="D315" s="686"/>
      <c r="E315" s="582"/>
      <c r="F315" s="691"/>
      <c r="G315" s="610"/>
      <c r="H315" s="610"/>
      <c r="I315" s="2026"/>
      <c r="J315" s="2026"/>
      <c r="K315" s="2026"/>
      <c r="L315" s="2026"/>
      <c r="M315" s="2026"/>
      <c r="N315" s="2026"/>
      <c r="O315" s="2026"/>
      <c r="P315" s="2026"/>
      <c r="Q315" s="2026"/>
      <c r="R315" s="2026"/>
      <c r="S315" s="2026"/>
      <c r="T315" s="2026"/>
      <c r="U315" s="2026"/>
      <c r="V315" s="2026"/>
      <c r="W315" s="2026"/>
      <c r="X315" s="2026"/>
      <c r="Y315" s="2026"/>
      <c r="Z315" s="2026"/>
      <c r="AA315" s="2026"/>
      <c r="AB315" s="2026"/>
      <c r="AC315" s="2026"/>
      <c r="AD315" s="2027"/>
      <c r="AE315" s="586"/>
      <c r="AF315" s="586"/>
      <c r="AG315" s="574"/>
      <c r="AH315" s="586"/>
      <c r="AI315" s="586"/>
      <c r="AJ315" s="585"/>
      <c r="AK315" s="585"/>
      <c r="AL315" s="585"/>
      <c r="AM315" s="585"/>
      <c r="AN315" s="73"/>
      <c r="AO315" s="14"/>
      <c r="AP315" s="592" t="s">
        <v>1994</v>
      </c>
    </row>
    <row r="316" spans="1:42" hidden="1">
      <c r="A316" s="585"/>
      <c r="B316" s="586"/>
      <c r="C316" s="686"/>
      <c r="D316" s="686"/>
      <c r="E316" s="582"/>
      <c r="F316" s="689"/>
      <c r="G316" s="586"/>
      <c r="H316" s="586"/>
      <c r="I316" s="2028"/>
      <c r="J316" s="2028"/>
      <c r="K316" s="2028"/>
      <c r="L316" s="2028"/>
      <c r="M316" s="2028"/>
      <c r="N316" s="2028"/>
      <c r="O316" s="2028"/>
      <c r="P316" s="2028"/>
      <c r="Q316" s="2028"/>
      <c r="R316" s="2028"/>
      <c r="S316" s="2028"/>
      <c r="T316" s="2028"/>
      <c r="U316" s="2028"/>
      <c r="V316" s="2028"/>
      <c r="W316" s="2028"/>
      <c r="X316" s="2028"/>
      <c r="Y316" s="2028"/>
      <c r="Z316" s="2028"/>
      <c r="AA316" s="2028"/>
      <c r="AB316" s="2028"/>
      <c r="AC316" s="2028"/>
      <c r="AD316" s="2029"/>
      <c r="AE316" s="586"/>
      <c r="AF316" s="586"/>
      <c r="AG316" s="574"/>
      <c r="AH316" s="586"/>
      <c r="AI316" s="586"/>
      <c r="AJ316" s="585"/>
      <c r="AK316" s="585"/>
      <c r="AL316" s="585"/>
      <c r="AM316" s="585"/>
      <c r="AN316" s="73"/>
      <c r="AO316" s="14"/>
      <c r="AP316" s="592" t="s">
        <v>1993</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2026" t="s">
        <v>1326</v>
      </c>
      <c r="J318" s="2026"/>
      <c r="K318" s="2026"/>
      <c r="L318" s="2026"/>
      <c r="M318" s="2026"/>
      <c r="N318" s="2026"/>
      <c r="O318" s="2026"/>
      <c r="P318" s="2026"/>
      <c r="Q318" s="2026"/>
      <c r="R318" s="2026"/>
      <c r="S318" s="2026"/>
      <c r="T318" s="2026"/>
      <c r="U318" s="2026"/>
      <c r="V318" s="2026"/>
      <c r="W318" s="2026"/>
      <c r="X318" s="2026"/>
      <c r="Y318" s="2026"/>
      <c r="Z318" s="2026"/>
      <c r="AA318" s="2026"/>
      <c r="AB318" s="2026"/>
      <c r="AC318" s="2026"/>
      <c r="AD318" s="2027"/>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26"/>
      <c r="J319" s="2026"/>
      <c r="K319" s="2026"/>
      <c r="L319" s="2026"/>
      <c r="M319" s="2026"/>
      <c r="N319" s="2026"/>
      <c r="O319" s="2026"/>
      <c r="P319" s="2026"/>
      <c r="Q319" s="2026"/>
      <c r="R319" s="2026"/>
      <c r="S319" s="2026"/>
      <c r="T319" s="2026"/>
      <c r="U319" s="2026"/>
      <c r="V319" s="2026"/>
      <c r="W319" s="2026"/>
      <c r="X319" s="2026"/>
      <c r="Y319" s="2026"/>
      <c r="Z319" s="2026"/>
      <c r="AA319" s="2026"/>
      <c r="AB319" s="2026"/>
      <c r="AC319" s="2026"/>
      <c r="AD319" s="2027"/>
      <c r="AE319" s="586"/>
      <c r="AF319" s="586"/>
      <c r="AG319" s="574"/>
      <c r="AH319" s="586"/>
      <c r="AI319" s="586"/>
      <c r="AJ319" s="585"/>
      <c r="AK319" s="585"/>
      <c r="AL319" s="585"/>
      <c r="AM319" s="585"/>
      <c r="AN319" s="73"/>
      <c r="AO319" s="14"/>
      <c r="AP319" s="592" t="s">
        <v>1326</v>
      </c>
    </row>
    <row r="320" spans="1:42" hidden="1">
      <c r="A320" s="585"/>
      <c r="B320" s="586"/>
      <c r="C320" s="686"/>
      <c r="D320" s="686"/>
      <c r="E320" s="582"/>
      <c r="F320" s="692"/>
      <c r="G320" s="693"/>
      <c r="H320" s="693"/>
      <c r="I320" s="2028"/>
      <c r="J320" s="2028"/>
      <c r="K320" s="2028"/>
      <c r="L320" s="2028"/>
      <c r="M320" s="2028"/>
      <c r="N320" s="2028"/>
      <c r="O320" s="2028"/>
      <c r="P320" s="2028"/>
      <c r="Q320" s="2028"/>
      <c r="R320" s="2028"/>
      <c r="S320" s="2028"/>
      <c r="T320" s="2028"/>
      <c r="U320" s="2028"/>
      <c r="V320" s="2028"/>
      <c r="W320" s="2028"/>
      <c r="X320" s="2028"/>
      <c r="Y320" s="2028"/>
      <c r="Z320" s="2028"/>
      <c r="AA320" s="2028"/>
      <c r="AB320" s="2028"/>
      <c r="AC320" s="2028"/>
      <c r="AD320" s="2029"/>
      <c r="AE320" s="586"/>
      <c r="AF320" s="586"/>
      <c r="AG320" s="574"/>
      <c r="AH320" s="586"/>
      <c r="AI320" s="586"/>
      <c r="AJ320" s="585"/>
      <c r="AK320" s="585"/>
      <c r="AL320" s="585"/>
      <c r="AM320" s="585"/>
      <c r="AN320" s="73"/>
      <c r="AO320" s="14"/>
      <c r="AP320" s="592" t="s">
        <v>1562</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1817</v>
      </c>
    </row>
    <row r="322" spans="1:44" ht="12.75" hidden="1" customHeight="1">
      <c r="A322" s="1611" t="s">
        <v>1563</v>
      </c>
      <c r="B322" s="1611"/>
      <c r="C322" s="1917" t="s">
        <v>601</v>
      </c>
      <c r="D322" s="1917"/>
      <c r="E322" s="582"/>
      <c r="F322" s="2014" t="s">
        <v>2422</v>
      </c>
      <c r="G322" s="2015"/>
      <c r="H322" s="2015"/>
      <c r="I322" s="2015"/>
      <c r="J322" s="2015"/>
      <c r="K322" s="2015"/>
      <c r="L322" s="2015"/>
      <c r="M322" s="2015"/>
      <c r="N322" s="2015"/>
      <c r="O322" s="2015"/>
      <c r="P322" s="2015"/>
      <c r="Q322" s="2015"/>
      <c r="R322" s="2015"/>
      <c r="S322" s="2015"/>
      <c r="T322" s="2015"/>
      <c r="U322" s="2015"/>
      <c r="V322" s="2015"/>
      <c r="W322" s="2015"/>
      <c r="X322" s="2015"/>
      <c r="Y322" s="2015"/>
      <c r="Z322" s="2015"/>
      <c r="AA322" s="2015"/>
      <c r="AB322" s="2015"/>
      <c r="AC322" s="2015"/>
      <c r="AD322" s="2016"/>
      <c r="AE322" s="586"/>
      <c r="AF322" s="586"/>
      <c r="AG322" s="574" t="s">
        <v>1559</v>
      </c>
      <c r="AH322" s="586"/>
      <c r="AI322" s="586"/>
      <c r="AJ322" s="585"/>
      <c r="AK322" s="585"/>
      <c r="AL322" s="585"/>
      <c r="AM322" s="585"/>
      <c r="AN322" s="73"/>
      <c r="AO322" s="14"/>
    </row>
    <row r="323" spans="1:44" ht="15" hidden="1" customHeight="1">
      <c r="A323" s="585"/>
      <c r="B323" s="586"/>
      <c r="C323" s="586"/>
      <c r="D323" s="586"/>
      <c r="E323" s="586"/>
      <c r="F323" s="2017"/>
      <c r="G323" s="2018"/>
      <c r="H323" s="2018"/>
      <c r="I323" s="2018"/>
      <c r="J323" s="2018"/>
      <c r="K323" s="2018"/>
      <c r="L323" s="2018"/>
      <c r="M323" s="2018"/>
      <c r="N323" s="2018"/>
      <c r="O323" s="2018"/>
      <c r="P323" s="2018"/>
      <c r="Q323" s="2018"/>
      <c r="R323" s="2018"/>
      <c r="S323" s="2018"/>
      <c r="T323" s="2018"/>
      <c r="U323" s="2018"/>
      <c r="V323" s="2018"/>
      <c r="W323" s="2018"/>
      <c r="X323" s="2018"/>
      <c r="Y323" s="2018"/>
      <c r="Z323" s="2018"/>
      <c r="AA323" s="2018"/>
      <c r="AB323" s="2018"/>
      <c r="AC323" s="2018"/>
      <c r="AD323" s="2019"/>
      <c r="AE323" s="586"/>
      <c r="AF323" s="586"/>
      <c r="AG323" s="586"/>
      <c r="AH323" s="586"/>
      <c r="AI323" s="586"/>
      <c r="AJ323" s="585"/>
      <c r="AK323" s="585"/>
      <c r="AL323" s="585"/>
      <c r="AM323" s="585"/>
      <c r="AN323" s="73"/>
      <c r="AO323" s="14"/>
    </row>
    <row r="324" spans="1:44" ht="15" hidden="1" customHeight="1">
      <c r="A324" s="585"/>
      <c r="B324" s="586"/>
      <c r="C324" s="586"/>
      <c r="D324" s="586"/>
      <c r="E324" s="586"/>
      <c r="F324" s="2017"/>
      <c r="G324" s="2018"/>
      <c r="H324" s="2018"/>
      <c r="I324" s="2018"/>
      <c r="J324" s="2018"/>
      <c r="K324" s="2018"/>
      <c r="L324" s="2018"/>
      <c r="M324" s="2018"/>
      <c r="N324" s="2018"/>
      <c r="O324" s="2018"/>
      <c r="P324" s="2018"/>
      <c r="Q324" s="2018"/>
      <c r="R324" s="2018"/>
      <c r="S324" s="2018"/>
      <c r="T324" s="2018"/>
      <c r="U324" s="2018"/>
      <c r="V324" s="2018"/>
      <c r="W324" s="2018"/>
      <c r="X324" s="2018"/>
      <c r="Y324" s="2018"/>
      <c r="Z324" s="2018"/>
      <c r="AA324" s="2018"/>
      <c r="AB324" s="2018"/>
      <c r="AC324" s="2018"/>
      <c r="AD324" s="2019"/>
      <c r="AE324" s="586"/>
      <c r="AF324" s="586"/>
      <c r="AG324" s="586"/>
      <c r="AH324" s="586"/>
      <c r="AI324" s="586"/>
      <c r="AJ324" s="585"/>
      <c r="AK324" s="585"/>
      <c r="AL324" s="585"/>
      <c r="AM324" s="694"/>
      <c r="AN324" s="14"/>
      <c r="AO324" s="14"/>
    </row>
    <row r="325" spans="1:44" hidden="1">
      <c r="A325" s="585"/>
      <c r="B325" s="586"/>
      <c r="C325" s="585"/>
      <c r="D325" s="586"/>
      <c r="E325" s="585"/>
      <c r="F325" s="695" t="s">
        <v>1564</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1623</v>
      </c>
      <c r="AK327" s="1902">
        <f>IF(NOT(OR(Application!M354="Yes",Application!M355="Yes")),0,AP284)</f>
        <v>10</v>
      </c>
      <c r="AL327" s="1903"/>
      <c r="AM327" s="1904"/>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1624</v>
      </c>
      <c r="B330" s="574" t="s">
        <v>874</v>
      </c>
      <c r="C330" s="571"/>
      <c r="AC330" s="574"/>
      <c r="AE330" s="1908" t="s">
        <v>1485</v>
      </c>
      <c r="AF330" s="1908"/>
      <c r="AG330" s="1908"/>
      <c r="AH330" s="1908"/>
      <c r="AI330" s="1908"/>
      <c r="AJ330" s="1908"/>
      <c r="AK330" s="1908"/>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12" t="s">
        <v>1625</v>
      </c>
      <c r="D332" s="1912"/>
      <c r="E332" s="1912"/>
      <c r="F332" s="1912"/>
      <c r="G332" s="1912"/>
      <c r="H332" s="1912"/>
      <c r="I332" s="1912"/>
      <c r="J332" s="1912"/>
      <c r="K332" s="1912"/>
      <c r="L332" s="1912"/>
      <c r="M332" s="1912"/>
      <c r="N332" s="1912"/>
      <c r="O332" s="1912"/>
      <c r="P332" s="1912"/>
      <c r="Q332" s="1912"/>
      <c r="R332" s="1912"/>
      <c r="S332" s="1912"/>
      <c r="T332" s="1912"/>
      <c r="U332" s="1912"/>
      <c r="V332" s="1912"/>
      <c r="W332" s="1912"/>
      <c r="X332" s="1912"/>
      <c r="Y332" s="1912"/>
      <c r="Z332" s="1912"/>
      <c r="AA332" s="1912"/>
      <c r="AB332" s="1912"/>
      <c r="AC332" s="1912"/>
      <c r="AD332" s="1912"/>
      <c r="AE332" s="1912"/>
      <c r="AF332" s="1912"/>
      <c r="AG332" s="1912"/>
      <c r="AH332" s="1912"/>
      <c r="AI332" s="1912"/>
      <c r="AJ332" s="1912"/>
      <c r="AK332" s="638"/>
      <c r="AL332" s="638"/>
      <c r="AM332" s="638"/>
      <c r="AN332" s="632"/>
    </row>
    <row r="333" spans="1:44" s="585" customFormat="1" ht="12.75" customHeight="1">
      <c r="A333" s="638"/>
      <c r="B333" s="646"/>
      <c r="C333" s="1912"/>
      <c r="D333" s="1912"/>
      <c r="E333" s="1912"/>
      <c r="F333" s="1912"/>
      <c r="G333" s="1912"/>
      <c r="H333" s="1912"/>
      <c r="I333" s="1912"/>
      <c r="J333" s="1912"/>
      <c r="K333" s="1912"/>
      <c r="L333" s="1912"/>
      <c r="M333" s="1912"/>
      <c r="N333" s="1912"/>
      <c r="O333" s="1912"/>
      <c r="P333" s="1912"/>
      <c r="Q333" s="1912"/>
      <c r="R333" s="1912"/>
      <c r="S333" s="1912"/>
      <c r="T333" s="1912"/>
      <c r="U333" s="1912"/>
      <c r="V333" s="1912"/>
      <c r="W333" s="1912"/>
      <c r="X333" s="1912"/>
      <c r="Y333" s="1912"/>
      <c r="Z333" s="1912"/>
      <c r="AA333" s="1912"/>
      <c r="AB333" s="1912"/>
      <c r="AC333" s="1912"/>
      <c r="AD333" s="1912"/>
      <c r="AE333" s="1912"/>
      <c r="AF333" s="1912"/>
      <c r="AG333" s="1912"/>
      <c r="AH333" s="1912"/>
      <c r="AI333" s="1912"/>
      <c r="AJ333" s="1912"/>
      <c r="AK333" s="638"/>
      <c r="AL333" s="638"/>
      <c r="AM333" s="638"/>
      <c r="AN333" s="632"/>
    </row>
    <row r="334" spans="1:44" s="585" customFormat="1" ht="12.75" customHeight="1">
      <c r="A334" s="638"/>
      <c r="B334" s="646"/>
      <c r="C334" s="1912"/>
      <c r="D334" s="1912"/>
      <c r="E334" s="1912"/>
      <c r="F334" s="1912"/>
      <c r="G334" s="1912"/>
      <c r="H334" s="1912"/>
      <c r="I334" s="1912"/>
      <c r="J334" s="1912"/>
      <c r="K334" s="1912"/>
      <c r="L334" s="1912"/>
      <c r="M334" s="1912"/>
      <c r="N334" s="1912"/>
      <c r="O334" s="1912"/>
      <c r="P334" s="1912"/>
      <c r="Q334" s="1912"/>
      <c r="R334" s="1912"/>
      <c r="S334" s="1912"/>
      <c r="T334" s="1912"/>
      <c r="U334" s="1912"/>
      <c r="V334" s="1912"/>
      <c r="W334" s="1912"/>
      <c r="X334" s="1912"/>
      <c r="Y334" s="1912"/>
      <c r="Z334" s="1912"/>
      <c r="AA334" s="1912"/>
      <c r="AB334" s="1912"/>
      <c r="AC334" s="1912"/>
      <c r="AD334" s="1912"/>
      <c r="AE334" s="1912"/>
      <c r="AF334" s="1912"/>
      <c r="AG334" s="1912"/>
      <c r="AH334" s="1912"/>
      <c r="AI334" s="1912"/>
      <c r="AJ334" s="1912"/>
      <c r="AK334" s="638"/>
      <c r="AL334" s="638"/>
      <c r="AM334" s="638"/>
      <c r="AN334" s="632"/>
      <c r="AQ334" s="605"/>
    </row>
    <row r="335" spans="1:44" s="585" customFormat="1" ht="12.75" customHeight="1">
      <c r="A335" s="638"/>
      <c r="B335" s="646"/>
      <c r="C335" s="1912"/>
      <c r="D335" s="1912"/>
      <c r="E335" s="1912"/>
      <c r="F335" s="1912"/>
      <c r="G335" s="1912"/>
      <c r="H335" s="1912"/>
      <c r="I335" s="1912"/>
      <c r="J335" s="1912"/>
      <c r="K335" s="1912"/>
      <c r="L335" s="1912"/>
      <c r="M335" s="1912"/>
      <c r="N335" s="1912"/>
      <c r="O335" s="1912"/>
      <c r="P335" s="1912"/>
      <c r="Q335" s="1912"/>
      <c r="R335" s="1912"/>
      <c r="S335" s="1912"/>
      <c r="T335" s="1912"/>
      <c r="U335" s="1912"/>
      <c r="V335" s="1912"/>
      <c r="W335" s="1912"/>
      <c r="X335" s="1912"/>
      <c r="Y335" s="1912"/>
      <c r="Z335" s="1912"/>
      <c r="AA335" s="1912"/>
      <c r="AB335" s="1912"/>
      <c r="AC335" s="1912"/>
      <c r="AD335" s="1912"/>
      <c r="AE335" s="1912"/>
      <c r="AF335" s="1912"/>
      <c r="AG335" s="1912"/>
      <c r="AH335" s="1912"/>
      <c r="AI335" s="1912"/>
      <c r="AJ335" s="1912"/>
      <c r="AK335" s="638"/>
      <c r="AL335" s="638"/>
      <c r="AM335" s="638"/>
      <c r="AN335" s="632"/>
      <c r="AQ335" s="605"/>
    </row>
    <row r="336" spans="1:44" s="585" customFormat="1" ht="12.45" customHeight="1">
      <c r="A336" s="638"/>
      <c r="B336" s="646"/>
      <c r="C336" s="1912"/>
      <c r="D336" s="1912"/>
      <c r="E336" s="1912"/>
      <c r="F336" s="1912"/>
      <c r="G336" s="1912"/>
      <c r="H336" s="1912"/>
      <c r="I336" s="1912"/>
      <c r="J336" s="1912"/>
      <c r="K336" s="1912"/>
      <c r="L336" s="1912"/>
      <c r="M336" s="1912"/>
      <c r="N336" s="1912"/>
      <c r="O336" s="1912"/>
      <c r="P336" s="1912"/>
      <c r="Q336" s="1912"/>
      <c r="R336" s="1912"/>
      <c r="S336" s="1912"/>
      <c r="T336" s="1912"/>
      <c r="U336" s="1912"/>
      <c r="V336" s="1912"/>
      <c r="W336" s="1912"/>
      <c r="X336" s="1912"/>
      <c r="Y336" s="1912"/>
      <c r="Z336" s="1912"/>
      <c r="AA336" s="1912"/>
      <c r="AB336" s="1912"/>
      <c r="AC336" s="1912"/>
      <c r="AD336" s="1912"/>
      <c r="AE336" s="1912"/>
      <c r="AF336" s="1912"/>
      <c r="AG336" s="1912"/>
      <c r="AH336" s="1912"/>
      <c r="AI336" s="1912"/>
      <c r="AJ336" s="1912"/>
      <c r="AK336" s="638"/>
      <c r="AL336" s="638"/>
      <c r="AM336" s="638"/>
      <c r="AN336" s="632"/>
      <c r="AQ336" s="605"/>
      <c r="AR336" s="605"/>
    </row>
    <row r="337" spans="1:46" s="585" customFormat="1" ht="45.75" customHeight="1">
      <c r="A337" s="638"/>
      <c r="B337" s="646"/>
      <c r="C337" s="1912" t="s">
        <v>2509</v>
      </c>
      <c r="D337" s="1912"/>
      <c r="E337" s="1912"/>
      <c r="F337" s="1912"/>
      <c r="G337" s="1912"/>
      <c r="H337" s="1912"/>
      <c r="I337" s="1912"/>
      <c r="J337" s="1912"/>
      <c r="K337" s="1912"/>
      <c r="L337" s="1912"/>
      <c r="M337" s="1912"/>
      <c r="N337" s="1912"/>
      <c r="O337" s="1912"/>
      <c r="P337" s="1912"/>
      <c r="Q337" s="1912"/>
      <c r="R337" s="1912"/>
      <c r="S337" s="1912"/>
      <c r="T337" s="1912"/>
      <c r="U337" s="1912"/>
      <c r="V337" s="1912"/>
      <c r="W337" s="1912"/>
      <c r="X337" s="1912"/>
      <c r="Y337" s="1912"/>
      <c r="Z337" s="1912"/>
      <c r="AA337" s="1912"/>
      <c r="AB337" s="1912"/>
      <c r="AC337" s="1912"/>
      <c r="AD337" s="1912"/>
      <c r="AE337" s="1912"/>
      <c r="AF337" s="1912"/>
      <c r="AG337" s="1912"/>
      <c r="AH337" s="1912"/>
      <c r="AI337" s="1912"/>
      <c r="AJ337" s="1912"/>
      <c r="AK337" s="638"/>
      <c r="AL337" s="638"/>
      <c r="AM337" s="638"/>
      <c r="AN337" s="632"/>
      <c r="AQ337" s="605"/>
      <c r="AR337" s="605"/>
    </row>
    <row r="338" spans="1:46" s="585" customFormat="1" ht="12.4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12" t="s">
        <v>2126</v>
      </c>
      <c r="D339" s="1912"/>
      <c r="E339" s="1912"/>
      <c r="F339" s="1912"/>
      <c r="G339" s="1912"/>
      <c r="H339" s="1912"/>
      <c r="I339" s="1912"/>
      <c r="J339" s="1912"/>
      <c r="K339" s="1912"/>
      <c r="L339" s="1912"/>
      <c r="M339" s="1912"/>
      <c r="N339" s="1912"/>
      <c r="O339" s="1912"/>
      <c r="P339" s="1912"/>
      <c r="Q339" s="1912"/>
      <c r="R339" s="1912"/>
      <c r="S339" s="1912"/>
      <c r="T339" s="1912"/>
      <c r="U339" s="1912"/>
      <c r="V339" s="1912"/>
      <c r="W339" s="1912"/>
      <c r="X339" s="1912"/>
      <c r="Y339" s="1912"/>
      <c r="Z339" s="1912"/>
      <c r="AA339" s="1912"/>
      <c r="AB339" s="1912"/>
      <c r="AC339" s="1912"/>
      <c r="AD339" s="1912"/>
      <c r="AE339" s="1912"/>
      <c r="AF339" s="1912"/>
      <c r="AG339" s="1912"/>
      <c r="AH339" s="1912"/>
      <c r="AI339" s="1912"/>
      <c r="AJ339" s="1912"/>
      <c r="AK339" s="638"/>
      <c r="AL339" s="638"/>
      <c r="AM339" s="638"/>
      <c r="AN339" s="632"/>
      <c r="AQ339" s="605"/>
      <c r="AR339" s="605"/>
    </row>
    <row r="340" spans="1:46" s="585" customFormat="1" ht="30" customHeight="1">
      <c r="A340" s="638"/>
      <c r="B340" s="646"/>
      <c r="C340" s="1912"/>
      <c r="D340" s="1912"/>
      <c r="E340" s="1912"/>
      <c r="F340" s="1912"/>
      <c r="G340" s="1912"/>
      <c r="H340" s="1912"/>
      <c r="I340" s="1912"/>
      <c r="J340" s="1912"/>
      <c r="K340" s="1912"/>
      <c r="L340" s="1912"/>
      <c r="M340" s="1912"/>
      <c r="N340" s="1912"/>
      <c r="O340" s="1912"/>
      <c r="P340" s="1912"/>
      <c r="Q340" s="1912"/>
      <c r="R340" s="1912"/>
      <c r="S340" s="1912"/>
      <c r="T340" s="1912"/>
      <c r="U340" s="1912"/>
      <c r="V340" s="1912"/>
      <c r="W340" s="1912"/>
      <c r="X340" s="1912"/>
      <c r="Y340" s="1912"/>
      <c r="Z340" s="1912"/>
      <c r="AA340" s="1912"/>
      <c r="AB340" s="1912"/>
      <c r="AC340" s="1912"/>
      <c r="AD340" s="1912"/>
      <c r="AE340" s="1912"/>
      <c r="AF340" s="1912"/>
      <c r="AG340" s="1912"/>
      <c r="AH340" s="1912"/>
      <c r="AI340" s="1912"/>
      <c r="AJ340" s="1912"/>
      <c r="AK340" s="638"/>
      <c r="AL340" s="638"/>
      <c r="AM340" s="638"/>
      <c r="AN340" s="632"/>
      <c r="AR340" s="605"/>
    </row>
    <row r="341" spans="1:46" s="585" customFormat="1" ht="12.75" customHeight="1">
      <c r="A341" s="638"/>
      <c r="B341" s="646"/>
      <c r="C341" s="1912"/>
      <c r="D341" s="1912"/>
      <c r="E341" s="1912"/>
      <c r="F341" s="1912"/>
      <c r="G341" s="1912"/>
      <c r="H341" s="1912"/>
      <c r="I341" s="1912"/>
      <c r="J341" s="1912"/>
      <c r="K341" s="1912"/>
      <c r="L341" s="1912"/>
      <c r="M341" s="1912"/>
      <c r="N341" s="1912"/>
      <c r="O341" s="1912"/>
      <c r="P341" s="1912"/>
      <c r="Q341" s="1912"/>
      <c r="R341" s="1912"/>
      <c r="S341" s="1912"/>
      <c r="T341" s="1912"/>
      <c r="U341" s="1912"/>
      <c r="V341" s="1912"/>
      <c r="W341" s="1912"/>
      <c r="X341" s="1912"/>
      <c r="Y341" s="1912"/>
      <c r="Z341" s="1912"/>
      <c r="AA341" s="1912"/>
      <c r="AB341" s="1912"/>
      <c r="AC341" s="1912"/>
      <c r="AD341" s="1912"/>
      <c r="AE341" s="1912"/>
      <c r="AF341" s="1912"/>
      <c r="AG341" s="1912"/>
      <c r="AH341" s="1912"/>
      <c r="AI341" s="1912"/>
      <c r="AJ341" s="1912"/>
      <c r="AK341" s="638"/>
      <c r="AL341" s="638"/>
      <c r="AM341" s="638"/>
      <c r="AN341" s="632"/>
      <c r="AR341" s="605"/>
    </row>
    <row r="342" spans="1:46" s="585" customFormat="1" ht="12.75" customHeight="1">
      <c r="A342" s="638"/>
      <c r="B342" s="646"/>
      <c r="C342" s="1912" t="s">
        <v>1626</v>
      </c>
      <c r="D342" s="1912"/>
      <c r="E342" s="1912"/>
      <c r="F342" s="1912"/>
      <c r="G342" s="1912"/>
      <c r="H342" s="1912"/>
      <c r="I342" s="1912"/>
      <c r="J342" s="1912"/>
      <c r="K342" s="1912"/>
      <c r="L342" s="1912"/>
      <c r="M342" s="1912"/>
      <c r="N342" s="1912"/>
      <c r="O342" s="1912"/>
      <c r="P342" s="1912"/>
      <c r="Q342" s="1912"/>
      <c r="R342" s="1912"/>
      <c r="S342" s="1912"/>
      <c r="T342" s="1912"/>
      <c r="U342" s="1912"/>
      <c r="V342" s="1912"/>
      <c r="W342" s="1912"/>
      <c r="X342" s="1912"/>
      <c r="Y342" s="1912"/>
      <c r="Z342" s="1912"/>
      <c r="AA342" s="1912"/>
      <c r="AB342" s="1912"/>
      <c r="AC342" s="1912"/>
      <c r="AD342" s="1912"/>
      <c r="AE342" s="1912"/>
      <c r="AF342" s="1912"/>
      <c r="AG342" s="1912"/>
      <c r="AH342" s="1912"/>
      <c r="AI342" s="1912"/>
      <c r="AJ342" s="1912"/>
      <c r="AK342" s="638"/>
      <c r="AL342" s="638"/>
      <c r="AM342" s="638"/>
      <c r="AN342" s="632"/>
      <c r="AQ342" s="605"/>
      <c r="AR342" s="605"/>
    </row>
    <row r="343" spans="1:46" s="585" customFormat="1" ht="12.75" customHeight="1">
      <c r="A343" s="638"/>
      <c r="B343" s="646"/>
      <c r="C343" s="1912"/>
      <c r="D343" s="1912"/>
      <c r="E343" s="1912"/>
      <c r="F343" s="1912"/>
      <c r="G343" s="1912"/>
      <c r="H343" s="1912"/>
      <c r="I343" s="1912"/>
      <c r="J343" s="1912"/>
      <c r="K343" s="1912"/>
      <c r="L343" s="1912"/>
      <c r="M343" s="1912"/>
      <c r="N343" s="1912"/>
      <c r="O343" s="1912"/>
      <c r="P343" s="1912"/>
      <c r="Q343" s="1912"/>
      <c r="R343" s="1912"/>
      <c r="S343" s="1912"/>
      <c r="T343" s="1912"/>
      <c r="U343" s="1912"/>
      <c r="V343" s="1912"/>
      <c r="W343" s="1912"/>
      <c r="X343" s="1912"/>
      <c r="Y343" s="1912"/>
      <c r="Z343" s="1912"/>
      <c r="AA343" s="1912"/>
      <c r="AB343" s="1912"/>
      <c r="AC343" s="1912"/>
      <c r="AD343" s="1912"/>
      <c r="AE343" s="1912"/>
      <c r="AF343" s="1912"/>
      <c r="AG343" s="1912"/>
      <c r="AH343" s="1912"/>
      <c r="AI343" s="1912"/>
      <c r="AJ343" s="1912"/>
      <c r="AK343" s="638"/>
      <c r="AL343" s="638"/>
      <c r="AM343" s="638"/>
      <c r="AN343" s="632"/>
      <c r="AQ343" s="605"/>
      <c r="AR343" s="605"/>
    </row>
    <row r="344" spans="1:46" s="585" customFormat="1" ht="13.2" customHeight="1">
      <c r="A344" s="638"/>
      <c r="B344" s="646"/>
      <c r="C344" s="1912"/>
      <c r="D344" s="1912"/>
      <c r="E344" s="1912"/>
      <c r="F344" s="1912"/>
      <c r="G344" s="1912"/>
      <c r="H344" s="1912"/>
      <c r="I344" s="1912"/>
      <c r="J344" s="1912"/>
      <c r="K344" s="1912"/>
      <c r="L344" s="1912"/>
      <c r="M344" s="1912"/>
      <c r="N344" s="1912"/>
      <c r="O344" s="1912"/>
      <c r="P344" s="1912"/>
      <c r="Q344" s="1912"/>
      <c r="R344" s="1912"/>
      <c r="S344" s="1912"/>
      <c r="T344" s="1912"/>
      <c r="U344" s="1912"/>
      <c r="V344" s="1912"/>
      <c r="W344" s="1912"/>
      <c r="X344" s="1912"/>
      <c r="Y344" s="1912"/>
      <c r="Z344" s="1912"/>
      <c r="AA344" s="1912"/>
      <c r="AB344" s="1912"/>
      <c r="AC344" s="1912"/>
      <c r="AD344" s="1912"/>
      <c r="AE344" s="1912"/>
      <c r="AF344" s="1912"/>
      <c r="AG344" s="1912"/>
      <c r="AH344" s="1912"/>
      <c r="AI344" s="1912"/>
      <c r="AJ344" s="1912"/>
      <c r="AK344" s="638"/>
      <c r="AL344" s="638"/>
      <c r="AM344" s="638"/>
      <c r="AN344" s="632"/>
      <c r="AQ344" s="605"/>
      <c r="AR344" s="605"/>
    </row>
    <row r="345" spans="1:46" s="585" customFormat="1" ht="12.75" customHeight="1">
      <c r="A345" s="638"/>
      <c r="B345" s="646"/>
      <c r="C345" s="1912"/>
      <c r="D345" s="1912"/>
      <c r="E345" s="1912"/>
      <c r="F345" s="1912"/>
      <c r="G345" s="1912"/>
      <c r="H345" s="1912"/>
      <c r="I345" s="1912"/>
      <c r="J345" s="1912"/>
      <c r="K345" s="1912"/>
      <c r="L345" s="1912"/>
      <c r="M345" s="1912"/>
      <c r="N345" s="1912"/>
      <c r="O345" s="1912"/>
      <c r="P345" s="1912"/>
      <c r="Q345" s="1912"/>
      <c r="R345" s="1912"/>
      <c r="S345" s="1912"/>
      <c r="T345" s="1912"/>
      <c r="U345" s="1912"/>
      <c r="V345" s="1912"/>
      <c r="W345" s="1912"/>
      <c r="X345" s="1912"/>
      <c r="Y345" s="1912"/>
      <c r="Z345" s="1912"/>
      <c r="AA345" s="1912"/>
      <c r="AB345" s="1912"/>
      <c r="AC345" s="1912"/>
      <c r="AD345" s="1912"/>
      <c r="AE345" s="1912"/>
      <c r="AF345" s="1912"/>
      <c r="AG345" s="1912"/>
      <c r="AH345" s="1912"/>
      <c r="AI345" s="1912"/>
      <c r="AJ345" s="1912"/>
      <c r="AK345" s="638"/>
      <c r="AL345" s="638"/>
      <c r="AM345" s="638"/>
      <c r="AN345" s="632"/>
      <c r="AO345" s="729"/>
      <c r="AP345" s="729"/>
      <c r="AQ345" s="605"/>
    </row>
    <row r="346" spans="1:46" s="585" customFormat="1" ht="11.85" customHeight="1">
      <c r="A346" s="638"/>
      <c r="B346" s="646"/>
      <c r="C346" s="1912"/>
      <c r="D346" s="1912"/>
      <c r="E346" s="1912"/>
      <c r="F346" s="1912"/>
      <c r="G346" s="1912"/>
      <c r="H346" s="1912"/>
      <c r="I346" s="1912"/>
      <c r="J346" s="1912"/>
      <c r="K346" s="1912"/>
      <c r="L346" s="1912"/>
      <c r="M346" s="1912"/>
      <c r="N346" s="1912"/>
      <c r="O346" s="1912"/>
      <c r="P346" s="1912"/>
      <c r="Q346" s="1912"/>
      <c r="R346" s="1912"/>
      <c r="S346" s="1912"/>
      <c r="T346" s="1912"/>
      <c r="U346" s="1912"/>
      <c r="V346" s="1912"/>
      <c r="W346" s="1912"/>
      <c r="X346" s="1912"/>
      <c r="Y346" s="1912"/>
      <c r="Z346" s="1912"/>
      <c r="AA346" s="1912"/>
      <c r="AB346" s="1912"/>
      <c r="AC346" s="1912"/>
      <c r="AD346" s="1912"/>
      <c r="AE346" s="1912"/>
      <c r="AF346" s="1912"/>
      <c r="AG346" s="1912"/>
      <c r="AH346" s="1912"/>
      <c r="AI346" s="1912"/>
      <c r="AJ346" s="1912"/>
      <c r="AK346" s="638"/>
      <c r="AL346" s="638"/>
      <c r="AM346" s="638"/>
      <c r="AN346" s="632"/>
      <c r="AO346" s="730" t="s">
        <v>113</v>
      </c>
      <c r="AP346" s="731">
        <f>IF(C370="Yes",5,0)</f>
        <v>0</v>
      </c>
      <c r="AS346" s="574" t="s">
        <v>1627</v>
      </c>
    </row>
    <row r="347" spans="1:46" s="585" customFormat="1" ht="12.75" customHeight="1">
      <c r="A347" s="638"/>
      <c r="B347" s="646"/>
      <c r="C347" s="1912"/>
      <c r="D347" s="1912"/>
      <c r="E347" s="1912"/>
      <c r="F347" s="1912"/>
      <c r="G347" s="1912"/>
      <c r="H347" s="1912"/>
      <c r="I347" s="1912"/>
      <c r="J347" s="1912"/>
      <c r="K347" s="1912"/>
      <c r="L347" s="1912"/>
      <c r="M347" s="1912"/>
      <c r="N347" s="1912"/>
      <c r="O347" s="1912"/>
      <c r="P347" s="1912"/>
      <c r="Q347" s="1912"/>
      <c r="R347" s="1912"/>
      <c r="S347" s="1912"/>
      <c r="T347" s="1912"/>
      <c r="U347" s="1912"/>
      <c r="V347" s="1912"/>
      <c r="W347" s="1912"/>
      <c r="X347" s="1912"/>
      <c r="Y347" s="1912"/>
      <c r="Z347" s="1912"/>
      <c r="AA347" s="1912"/>
      <c r="AB347" s="1912"/>
      <c r="AC347" s="1912"/>
      <c r="AD347" s="1912"/>
      <c r="AE347" s="1912"/>
      <c r="AF347" s="1912"/>
      <c r="AG347" s="1912"/>
      <c r="AH347" s="1912"/>
      <c r="AI347" s="1912"/>
      <c r="AJ347" s="1912"/>
      <c r="AK347" s="638"/>
      <c r="AL347" s="638"/>
      <c r="AM347" s="638"/>
      <c r="AN347" s="632"/>
      <c r="AO347" s="730" t="s">
        <v>114</v>
      </c>
      <c r="AP347" s="731">
        <f>IF(C378="Yes",5,0)</f>
        <v>0</v>
      </c>
      <c r="AS347" s="1877">
        <f>IF(Application!D210="Non-Targeted",(SUM(AQ355+AQ364)),AS351)</f>
        <v>10</v>
      </c>
      <c r="AT347" s="1877"/>
    </row>
    <row r="348" spans="1:46" s="585" customFormat="1" ht="12.75" customHeight="1">
      <c r="A348" s="638"/>
      <c r="B348" s="646"/>
      <c r="C348" s="1912"/>
      <c r="D348" s="1912"/>
      <c r="E348" s="1912"/>
      <c r="F348" s="1912"/>
      <c r="G348" s="1912"/>
      <c r="H348" s="1912"/>
      <c r="I348" s="1912"/>
      <c r="J348" s="1912"/>
      <c r="K348" s="1912"/>
      <c r="L348" s="1912"/>
      <c r="M348" s="1912"/>
      <c r="N348" s="1912"/>
      <c r="O348" s="1912"/>
      <c r="P348" s="1912"/>
      <c r="Q348" s="1912"/>
      <c r="R348" s="1912"/>
      <c r="S348" s="1912"/>
      <c r="T348" s="1912"/>
      <c r="U348" s="1912"/>
      <c r="V348" s="1912"/>
      <c r="W348" s="1912"/>
      <c r="X348" s="1912"/>
      <c r="Y348" s="1912"/>
      <c r="Z348" s="1912"/>
      <c r="AA348" s="1912"/>
      <c r="AB348" s="1912"/>
      <c r="AC348" s="1912"/>
      <c r="AD348" s="1912"/>
      <c r="AE348" s="1912"/>
      <c r="AF348" s="1912"/>
      <c r="AG348" s="1912"/>
      <c r="AH348" s="1912"/>
      <c r="AI348" s="1912"/>
      <c r="AJ348" s="1912"/>
      <c r="AK348" s="638"/>
      <c r="AL348" s="638"/>
      <c r="AM348" s="638"/>
      <c r="AN348" s="632"/>
      <c r="AO348" s="730" t="s">
        <v>120</v>
      </c>
      <c r="AP348" s="731">
        <f>IF(C386="Yes",7,0)</f>
        <v>7</v>
      </c>
      <c r="AS348" s="574" t="s">
        <v>1628</v>
      </c>
    </row>
    <row r="349" spans="1:46" s="585" customFormat="1" ht="12.75" customHeight="1">
      <c r="A349" s="638"/>
      <c r="B349" s="646"/>
      <c r="C349" s="1912"/>
      <c r="D349" s="1912"/>
      <c r="E349" s="1912"/>
      <c r="F349" s="1912"/>
      <c r="G349" s="1912"/>
      <c r="H349" s="1912"/>
      <c r="I349" s="1912"/>
      <c r="J349" s="1912"/>
      <c r="K349" s="1912"/>
      <c r="L349" s="1912"/>
      <c r="M349" s="1912"/>
      <c r="N349" s="1912"/>
      <c r="O349" s="1912"/>
      <c r="P349" s="1912"/>
      <c r="Q349" s="1912"/>
      <c r="R349" s="1912"/>
      <c r="S349" s="1912"/>
      <c r="T349" s="1912"/>
      <c r="U349" s="1912"/>
      <c r="V349" s="1912"/>
      <c r="W349" s="1912"/>
      <c r="X349" s="1912"/>
      <c r="Y349" s="1912"/>
      <c r="Z349" s="1912"/>
      <c r="AA349" s="1912"/>
      <c r="AB349" s="1912"/>
      <c r="AC349" s="1912"/>
      <c r="AD349" s="1912"/>
      <c r="AE349" s="1912"/>
      <c r="AF349" s="1912"/>
      <c r="AG349" s="1912"/>
      <c r="AH349" s="1912"/>
      <c r="AI349" s="1912"/>
      <c r="AJ349" s="1912"/>
      <c r="AK349" s="638"/>
      <c r="AL349" s="638"/>
      <c r="AM349" s="638"/>
      <c r="AN349" s="632"/>
      <c r="AO349" s="632"/>
      <c r="AP349" s="731">
        <f>IF(C388="Yes",5,0)</f>
        <v>0</v>
      </c>
      <c r="AS349" s="1877">
        <f>IF(AND(AQ355&gt;0,AQ364&gt;0),(AQ355+AQ364)/2,0)</f>
        <v>0</v>
      </c>
      <c r="AT349" s="1877"/>
    </row>
    <row r="350" spans="1:46" s="585" customFormat="1" ht="12.75" customHeight="1">
      <c r="A350" s="638"/>
      <c r="B350" s="646"/>
      <c r="C350" s="1912"/>
      <c r="D350" s="1912"/>
      <c r="E350" s="1912"/>
      <c r="F350" s="1912"/>
      <c r="G350" s="1912"/>
      <c r="H350" s="1912"/>
      <c r="I350" s="1912"/>
      <c r="J350" s="1912"/>
      <c r="K350" s="1912"/>
      <c r="L350" s="1912"/>
      <c r="M350" s="1912"/>
      <c r="N350" s="1912"/>
      <c r="O350" s="1912"/>
      <c r="P350" s="1912"/>
      <c r="Q350" s="1912"/>
      <c r="R350" s="1912"/>
      <c r="S350" s="1912"/>
      <c r="T350" s="1912"/>
      <c r="U350" s="1912"/>
      <c r="V350" s="1912"/>
      <c r="W350" s="1912"/>
      <c r="X350" s="1912"/>
      <c r="Y350" s="1912"/>
      <c r="Z350" s="1912"/>
      <c r="AA350" s="1912"/>
      <c r="AB350" s="1912"/>
      <c r="AC350" s="1912"/>
      <c r="AD350" s="1912"/>
      <c r="AE350" s="1912"/>
      <c r="AF350" s="1912"/>
      <c r="AG350" s="1912"/>
      <c r="AH350" s="1912"/>
      <c r="AI350" s="1912"/>
      <c r="AJ350" s="1912"/>
      <c r="AK350" s="638"/>
      <c r="AL350" s="638"/>
      <c r="AM350" s="638"/>
      <c r="AN350" s="632"/>
      <c r="AO350" s="730" t="s">
        <v>591</v>
      </c>
      <c r="AP350" s="731">
        <f>IF(C396="Yes",5,0)</f>
        <v>0</v>
      </c>
      <c r="AS350" s="574" t="s">
        <v>2143</v>
      </c>
    </row>
    <row r="351" spans="1:46" s="585" customFormat="1" ht="12.75" customHeight="1">
      <c r="A351" s="638"/>
      <c r="B351" s="646"/>
      <c r="C351" s="2006" t="s">
        <v>1629</v>
      </c>
      <c r="D351" s="2006"/>
      <c r="E351" s="2006"/>
      <c r="F351" s="2006"/>
      <c r="G351" s="2006"/>
      <c r="H351" s="2006"/>
      <c r="I351" s="2006"/>
      <c r="J351" s="2006"/>
      <c r="K351" s="2006"/>
      <c r="L351" s="2006"/>
      <c r="M351" s="2006"/>
      <c r="N351" s="2006"/>
      <c r="O351" s="2006"/>
      <c r="P351" s="2006"/>
      <c r="Q351" s="2006"/>
      <c r="R351" s="2006"/>
      <c r="S351" s="2006"/>
      <c r="T351" s="2006"/>
      <c r="U351" s="2006"/>
      <c r="V351" s="2006"/>
      <c r="W351" s="2006"/>
      <c r="X351" s="2006"/>
      <c r="Y351" s="2006"/>
      <c r="Z351" s="2006"/>
      <c r="AA351" s="2006"/>
      <c r="AB351" s="2006"/>
      <c r="AC351" s="2006"/>
      <c r="AD351" s="2006"/>
      <c r="AE351" s="2006"/>
      <c r="AF351" s="2006"/>
      <c r="AG351" s="2006"/>
      <c r="AH351" s="2006"/>
      <c r="AI351" s="2006"/>
      <c r="AJ351" s="2006"/>
      <c r="AK351" s="638"/>
      <c r="AL351" s="638"/>
      <c r="AM351" s="638"/>
      <c r="AN351" s="632"/>
      <c r="AO351" s="632"/>
      <c r="AP351" s="731">
        <f>IF(C398="Yes",3,0)</f>
        <v>3</v>
      </c>
      <c r="AS351" s="1877">
        <f>IF(AQ355=0,AQ364,AQ355)</f>
        <v>10</v>
      </c>
      <c r="AT351" s="1877"/>
    </row>
    <row r="352" spans="1:46" s="585" customFormat="1" ht="12.75" customHeight="1">
      <c r="A352" s="638"/>
      <c r="B352" s="646"/>
      <c r="C352" s="2006"/>
      <c r="D352" s="2006"/>
      <c r="E352" s="2006"/>
      <c r="F352" s="2006"/>
      <c r="G352" s="2006"/>
      <c r="H352" s="2006"/>
      <c r="I352" s="2006"/>
      <c r="J352" s="2006"/>
      <c r="K352" s="2006"/>
      <c r="L352" s="2006"/>
      <c r="M352" s="2006"/>
      <c r="N352" s="2006"/>
      <c r="O352" s="2006"/>
      <c r="P352" s="2006"/>
      <c r="Q352" s="2006"/>
      <c r="R352" s="2006"/>
      <c r="S352" s="2006"/>
      <c r="T352" s="2006"/>
      <c r="U352" s="2006"/>
      <c r="V352" s="2006"/>
      <c r="W352" s="2006"/>
      <c r="X352" s="2006"/>
      <c r="Y352" s="2006"/>
      <c r="Z352" s="2006"/>
      <c r="AA352" s="2006"/>
      <c r="AB352" s="2006"/>
      <c r="AC352" s="2006"/>
      <c r="AD352" s="2006"/>
      <c r="AE352" s="2006"/>
      <c r="AF352" s="2006"/>
      <c r="AG352" s="2006"/>
      <c r="AH352" s="2006"/>
      <c r="AI352" s="2006"/>
      <c r="AJ352" s="2006"/>
      <c r="AK352" s="638"/>
      <c r="AL352" s="638"/>
      <c r="AM352" s="638"/>
      <c r="AN352" s="632"/>
      <c r="AO352" s="730" t="s">
        <v>788</v>
      </c>
      <c r="AP352" s="731">
        <f>IF(C401="Yes",5,0)</f>
        <v>0</v>
      </c>
    </row>
    <row r="353" spans="1:81" s="585" customFormat="1" ht="12.75" customHeight="1">
      <c r="A353" s="638"/>
      <c r="B353" s="646"/>
      <c r="C353" s="2006"/>
      <c r="D353" s="2006"/>
      <c r="E353" s="2006"/>
      <c r="F353" s="2006"/>
      <c r="G353" s="2006"/>
      <c r="H353" s="2006"/>
      <c r="I353" s="2006"/>
      <c r="J353" s="2006"/>
      <c r="K353" s="2006"/>
      <c r="L353" s="2006"/>
      <c r="M353" s="2006"/>
      <c r="N353" s="2006"/>
      <c r="O353" s="2006"/>
      <c r="P353" s="2006"/>
      <c r="Q353" s="2006"/>
      <c r="R353" s="2006"/>
      <c r="S353" s="2006"/>
      <c r="T353" s="2006"/>
      <c r="U353" s="2006"/>
      <c r="V353" s="2006"/>
      <c r="W353" s="2006"/>
      <c r="X353" s="2006"/>
      <c r="Y353" s="2006"/>
      <c r="Z353" s="2006"/>
      <c r="AA353" s="2006"/>
      <c r="AB353" s="2006"/>
      <c r="AC353" s="2006"/>
      <c r="AD353" s="2006"/>
      <c r="AE353" s="2006"/>
      <c r="AF353" s="2006"/>
      <c r="AG353" s="2006"/>
      <c r="AH353" s="2006"/>
      <c r="AI353" s="2006"/>
      <c r="AJ353" s="2006"/>
      <c r="AK353" s="638"/>
      <c r="AL353" s="638"/>
      <c r="AM353" s="638"/>
      <c r="AN353" s="632"/>
      <c r="AO353" s="730" t="s">
        <v>594</v>
      </c>
      <c r="AP353" s="731">
        <f>IF(C410="Yes",5,0)</f>
        <v>0</v>
      </c>
    </row>
    <row r="354" spans="1:81" s="585" customFormat="1" ht="11.85" customHeight="1">
      <c r="A354" s="638"/>
      <c r="B354" s="646"/>
      <c r="C354" s="2006"/>
      <c r="D354" s="2006"/>
      <c r="E354" s="2006"/>
      <c r="F354" s="2006"/>
      <c r="G354" s="2006"/>
      <c r="H354" s="2006"/>
      <c r="I354" s="2006"/>
      <c r="J354" s="2006"/>
      <c r="K354" s="2006"/>
      <c r="L354" s="2006"/>
      <c r="M354" s="2006"/>
      <c r="N354" s="2006"/>
      <c r="O354" s="2006"/>
      <c r="P354" s="2006"/>
      <c r="Q354" s="2006"/>
      <c r="R354" s="2006"/>
      <c r="S354" s="2006"/>
      <c r="T354" s="2006"/>
      <c r="U354" s="2006"/>
      <c r="V354" s="2006"/>
      <c r="W354" s="2006"/>
      <c r="X354" s="2006"/>
      <c r="Y354" s="2006"/>
      <c r="Z354" s="2006"/>
      <c r="AA354" s="2006"/>
      <c r="AB354" s="2006"/>
      <c r="AC354" s="2006"/>
      <c r="AD354" s="2006"/>
      <c r="AE354" s="2006"/>
      <c r="AF354" s="2006"/>
      <c r="AG354" s="2006"/>
      <c r="AH354" s="2006"/>
      <c r="AI354" s="2006"/>
      <c r="AJ354" s="2006"/>
      <c r="AK354" s="638"/>
      <c r="AL354" s="638"/>
      <c r="AM354" s="638"/>
      <c r="AN354" s="632"/>
      <c r="AO354" s="732"/>
      <c r="AP354" s="733">
        <f>IF(C412="Yes",3,0)</f>
        <v>0</v>
      </c>
    </row>
    <row r="355" spans="1:81" s="585" customFormat="1" ht="12.45" customHeight="1">
      <c r="A355" s="638"/>
      <c r="B355" s="646"/>
      <c r="C355" s="2006"/>
      <c r="D355" s="2006"/>
      <c r="E355" s="2006"/>
      <c r="F355" s="2006"/>
      <c r="G355" s="2006"/>
      <c r="H355" s="2006"/>
      <c r="I355" s="2006"/>
      <c r="J355" s="2006"/>
      <c r="K355" s="2006"/>
      <c r="L355" s="2006"/>
      <c r="M355" s="2006"/>
      <c r="N355" s="2006"/>
      <c r="O355" s="2006"/>
      <c r="P355" s="2006"/>
      <c r="Q355" s="2006"/>
      <c r="R355" s="2006"/>
      <c r="S355" s="2006"/>
      <c r="T355" s="2006"/>
      <c r="U355" s="2006"/>
      <c r="V355" s="2006"/>
      <c r="W355" s="2006"/>
      <c r="X355" s="2006"/>
      <c r="Y355" s="2006"/>
      <c r="Z355" s="2006"/>
      <c r="AA355" s="2006"/>
      <c r="AB355" s="2006"/>
      <c r="AC355" s="2006"/>
      <c r="AD355" s="2006"/>
      <c r="AE355" s="2006"/>
      <c r="AF355" s="2006"/>
      <c r="AG355" s="2006"/>
      <c r="AH355" s="2006"/>
      <c r="AI355" s="2006"/>
      <c r="AJ355" s="2006"/>
      <c r="AK355" s="638"/>
      <c r="AL355" s="638"/>
      <c r="AM355" s="638"/>
      <c r="AN355" s="632"/>
      <c r="AO355" s="734" t="s">
        <v>229</v>
      </c>
      <c r="AP355" s="735">
        <f>SUM(AP346:AP354)</f>
        <v>10</v>
      </c>
      <c r="AQ355" s="1915">
        <f>IF(AP355&gt;0,AP355,0)</f>
        <v>10</v>
      </c>
      <c r="AR355" s="1915"/>
    </row>
    <row r="356" spans="1:81" s="585" customFormat="1" ht="12.75" customHeight="1">
      <c r="A356" s="638"/>
      <c r="B356" s="646"/>
      <c r="C356" s="2006"/>
      <c r="D356" s="2006"/>
      <c r="E356" s="2006"/>
      <c r="F356" s="2006"/>
      <c r="G356" s="2006"/>
      <c r="H356" s="2006"/>
      <c r="I356" s="2006"/>
      <c r="J356" s="2006"/>
      <c r="K356" s="2006"/>
      <c r="L356" s="2006"/>
      <c r="M356" s="2006"/>
      <c r="N356" s="2006"/>
      <c r="O356" s="2006"/>
      <c r="P356" s="2006"/>
      <c r="Q356" s="2006"/>
      <c r="R356" s="2006"/>
      <c r="S356" s="2006"/>
      <c r="T356" s="2006"/>
      <c r="U356" s="2006"/>
      <c r="V356" s="2006"/>
      <c r="W356" s="2006"/>
      <c r="X356" s="2006"/>
      <c r="Y356" s="2006"/>
      <c r="Z356" s="2006"/>
      <c r="AA356" s="2006"/>
      <c r="AB356" s="2006"/>
      <c r="AC356" s="2006"/>
      <c r="AD356" s="2006"/>
      <c r="AE356" s="2006"/>
      <c r="AF356" s="2006"/>
      <c r="AG356" s="2006"/>
      <c r="AH356" s="2006"/>
      <c r="AI356" s="2006"/>
      <c r="AJ356" s="2006"/>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12" t="s">
        <v>1630</v>
      </c>
      <c r="D358" s="1912"/>
      <c r="E358" s="1912"/>
      <c r="F358" s="1912"/>
      <c r="G358" s="1912"/>
      <c r="H358" s="1912"/>
      <c r="I358" s="1912"/>
      <c r="J358" s="1912"/>
      <c r="K358" s="1912"/>
      <c r="L358" s="1912"/>
      <c r="M358" s="1912"/>
      <c r="N358" s="1912"/>
      <c r="O358" s="1912"/>
      <c r="P358" s="1912"/>
      <c r="Q358" s="1912"/>
      <c r="R358" s="1912"/>
      <c r="S358" s="1912"/>
      <c r="T358" s="1912"/>
      <c r="U358" s="1912"/>
      <c r="V358" s="1912"/>
      <c r="W358" s="1912"/>
      <c r="X358" s="1912"/>
      <c r="Y358" s="1912"/>
      <c r="Z358" s="1912"/>
      <c r="AA358" s="1912"/>
      <c r="AB358" s="1912"/>
      <c r="AC358" s="1912"/>
      <c r="AD358" s="1912"/>
      <c r="AE358" s="1912"/>
      <c r="AF358" s="1912"/>
      <c r="AG358" s="1912"/>
      <c r="AH358" s="1912"/>
      <c r="AI358" s="1912"/>
      <c r="AJ358" s="1912"/>
      <c r="AK358" s="638"/>
      <c r="AL358" s="638"/>
      <c r="AM358" s="638"/>
      <c r="AN358" s="632"/>
      <c r="AO358" s="730" t="s">
        <v>466</v>
      </c>
      <c r="AP358" s="731">
        <f>IF(C431="Yes",5,0)</f>
        <v>0</v>
      </c>
    </row>
    <row r="359" spans="1:81" s="585" customFormat="1" ht="12.75" customHeight="1">
      <c r="A359" s="638"/>
      <c r="B359" s="646"/>
      <c r="C359" s="1912"/>
      <c r="D359" s="1912"/>
      <c r="E359" s="1912"/>
      <c r="F359" s="1912"/>
      <c r="G359" s="1912"/>
      <c r="H359" s="1912"/>
      <c r="I359" s="1912"/>
      <c r="J359" s="1912"/>
      <c r="K359" s="1912"/>
      <c r="L359" s="1912"/>
      <c r="M359" s="1912"/>
      <c r="N359" s="1912"/>
      <c r="O359" s="1912"/>
      <c r="P359" s="1912"/>
      <c r="Q359" s="1912"/>
      <c r="R359" s="1912"/>
      <c r="S359" s="1912"/>
      <c r="T359" s="1912"/>
      <c r="U359" s="1912"/>
      <c r="V359" s="1912"/>
      <c r="W359" s="1912"/>
      <c r="X359" s="1912"/>
      <c r="Y359" s="1912"/>
      <c r="Z359" s="1912"/>
      <c r="AA359" s="1912"/>
      <c r="AB359" s="1912"/>
      <c r="AC359" s="1912"/>
      <c r="AD359" s="1912"/>
      <c r="AE359" s="1912"/>
      <c r="AF359" s="1912"/>
      <c r="AG359" s="1912"/>
      <c r="AH359" s="1912"/>
      <c r="AI359" s="1912"/>
      <c r="AJ359" s="1912"/>
      <c r="AK359" s="638"/>
      <c r="AL359" s="638"/>
      <c r="AM359" s="638"/>
      <c r="AN359" s="632"/>
      <c r="AO359" s="730" t="s">
        <v>471</v>
      </c>
      <c r="AP359" s="731">
        <f>IF(C438="Yes",5,0)</f>
        <v>0</v>
      </c>
    </row>
    <row r="360" spans="1:81" s="585" customFormat="1" ht="68.099999999999994" customHeight="1">
      <c r="A360" s="638"/>
      <c r="B360" s="646"/>
      <c r="C360" s="1912"/>
      <c r="D360" s="1912"/>
      <c r="E360" s="1912"/>
      <c r="F360" s="1912"/>
      <c r="G360" s="1912"/>
      <c r="H360" s="1912"/>
      <c r="I360" s="1912"/>
      <c r="J360" s="1912"/>
      <c r="K360" s="1912"/>
      <c r="L360" s="1912"/>
      <c r="M360" s="1912"/>
      <c r="N360" s="1912"/>
      <c r="O360" s="1912"/>
      <c r="P360" s="1912"/>
      <c r="Q360" s="1912"/>
      <c r="R360" s="1912"/>
      <c r="S360" s="1912"/>
      <c r="T360" s="1912"/>
      <c r="U360" s="1912"/>
      <c r="V360" s="1912"/>
      <c r="W360" s="1912"/>
      <c r="X360" s="1912"/>
      <c r="Y360" s="1912"/>
      <c r="Z360" s="1912"/>
      <c r="AA360" s="1912"/>
      <c r="AB360" s="1912"/>
      <c r="AC360" s="1912"/>
      <c r="AD360" s="1912"/>
      <c r="AE360" s="1912"/>
      <c r="AF360" s="1912"/>
      <c r="AG360" s="1912"/>
      <c r="AH360" s="1912"/>
      <c r="AI360" s="1912"/>
      <c r="AJ360" s="1912"/>
      <c r="AK360" s="638"/>
      <c r="AL360" s="638"/>
      <c r="AM360" s="638"/>
      <c r="AN360" s="632"/>
      <c r="AO360" s="730" t="s">
        <v>656</v>
      </c>
      <c r="AP360" s="736">
        <f>IF(C442="Yes",5,0)</f>
        <v>0</v>
      </c>
    </row>
    <row r="361" spans="1:81" s="585" customFormat="1" ht="12.45" customHeight="1">
      <c r="A361" s="638"/>
      <c r="B361" s="646"/>
      <c r="C361" s="585" t="s">
        <v>1631</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1632</v>
      </c>
      <c r="D362" s="738"/>
      <c r="E362" s="738"/>
      <c r="F362" s="738"/>
      <c r="G362" s="738"/>
      <c r="H362" s="738"/>
      <c r="I362" s="738"/>
      <c r="J362" s="738"/>
      <c r="K362" s="738"/>
      <c r="L362" s="738"/>
      <c r="M362" s="702"/>
      <c r="N362" s="702"/>
      <c r="O362" s="739"/>
      <c r="P362" s="738"/>
      <c r="Q362" s="738"/>
      <c r="R362" s="702"/>
      <c r="S362" s="702"/>
      <c r="T362" s="738"/>
      <c r="U362" s="1913">
        <f>Application!CS649-U363</f>
        <v>407</v>
      </c>
      <c r="V362" s="1913"/>
      <c r="W362" s="1913"/>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1633</v>
      </c>
      <c r="D363" s="729"/>
      <c r="E363" s="729"/>
      <c r="F363" s="729"/>
      <c r="G363" s="729"/>
      <c r="H363" s="729"/>
      <c r="I363" s="729"/>
      <c r="J363" s="729"/>
      <c r="K363" s="729"/>
      <c r="L363" s="729"/>
      <c r="M363" s="729"/>
      <c r="N363" s="729"/>
      <c r="O363" s="729"/>
      <c r="P363" s="729"/>
      <c r="Q363" s="729"/>
      <c r="R363" s="729"/>
      <c r="S363" s="729"/>
      <c r="T363" s="729"/>
      <c r="U363" s="1914">
        <f>Application!AG742</f>
        <v>0</v>
      </c>
      <c r="V363" s="1914"/>
      <c r="W363" s="1914"/>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15">
        <f>IF(AP364&gt;0,AP364,0)</f>
        <v>0</v>
      </c>
      <c r="AR364" s="1915"/>
    </row>
    <row r="365" spans="1:81" s="585" customFormat="1" ht="12.75" customHeight="1">
      <c r="A365" s="638"/>
      <c r="B365" s="14"/>
      <c r="C365" s="747" t="s">
        <v>1634</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1486</v>
      </c>
      <c r="F366" s="1906" t="s">
        <v>1635</v>
      </c>
      <c r="G366" s="1906"/>
      <c r="H366" s="1906"/>
      <c r="I366" s="1906"/>
      <c r="J366" s="1906"/>
      <c r="K366" s="1906"/>
      <c r="L366" s="1906"/>
      <c r="M366" s="1906"/>
      <c r="N366" s="1906"/>
      <c r="O366" s="1906"/>
      <c r="P366" s="1906"/>
      <c r="Q366" s="1906"/>
      <c r="R366" s="1906"/>
      <c r="S366" s="1906"/>
      <c r="T366" s="1906"/>
      <c r="U366" s="1906"/>
      <c r="V366" s="1906"/>
      <c r="W366" s="1906"/>
      <c r="X366" s="1906"/>
      <c r="Y366" s="1906"/>
      <c r="Z366" s="1906"/>
      <c r="AA366" s="1906"/>
      <c r="AB366" s="1906"/>
      <c r="AC366" s="1906"/>
      <c r="AD366" s="1906"/>
      <c r="AE366" s="1906"/>
      <c r="AF366" s="1906"/>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07"/>
      <c r="G367" s="1907"/>
      <c r="H367" s="1907"/>
      <c r="I367" s="1907"/>
      <c r="J367" s="1907"/>
      <c r="K367" s="1907"/>
      <c r="L367" s="1907"/>
      <c r="M367" s="1907"/>
      <c r="N367" s="1907"/>
      <c r="O367" s="1907"/>
      <c r="P367" s="1907"/>
      <c r="Q367" s="1907"/>
      <c r="R367" s="1907"/>
      <c r="S367" s="1907"/>
      <c r="T367" s="1907"/>
      <c r="U367" s="1907"/>
      <c r="V367" s="1907"/>
      <c r="W367" s="1907"/>
      <c r="X367" s="1907"/>
      <c r="Y367" s="1907"/>
      <c r="Z367" s="1907"/>
      <c r="AA367" s="1907"/>
      <c r="AB367" s="1907"/>
      <c r="AC367" s="1907"/>
      <c r="AD367" s="1907"/>
      <c r="AE367" s="1907"/>
      <c r="AF367" s="1907"/>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07"/>
      <c r="G368" s="1907"/>
      <c r="H368" s="1907"/>
      <c r="I368" s="1907"/>
      <c r="J368" s="1907"/>
      <c r="K368" s="1907"/>
      <c r="L368" s="1907"/>
      <c r="M368" s="1907"/>
      <c r="N368" s="1907"/>
      <c r="O368" s="1907"/>
      <c r="P368" s="1907"/>
      <c r="Q368" s="1907"/>
      <c r="R368" s="1907"/>
      <c r="S368" s="1907"/>
      <c r="T368" s="1907"/>
      <c r="U368" s="1907"/>
      <c r="V368" s="1907"/>
      <c r="W368" s="1907"/>
      <c r="X368" s="1907"/>
      <c r="Y368" s="1907"/>
      <c r="Z368" s="1907"/>
      <c r="AA368" s="1907"/>
      <c r="AB368" s="1907"/>
      <c r="AC368" s="1907"/>
      <c r="AD368" s="1907"/>
      <c r="AE368" s="1907"/>
      <c r="AF368" s="1907"/>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07"/>
      <c r="G369" s="1907"/>
      <c r="H369" s="1907"/>
      <c r="I369" s="1907"/>
      <c r="J369" s="1907"/>
      <c r="K369" s="1907"/>
      <c r="L369" s="1907"/>
      <c r="M369" s="1907"/>
      <c r="N369" s="1907"/>
      <c r="O369" s="1907"/>
      <c r="P369" s="1907"/>
      <c r="Q369" s="1907"/>
      <c r="R369" s="1907"/>
      <c r="S369" s="1907"/>
      <c r="T369" s="1907"/>
      <c r="U369" s="1907"/>
      <c r="V369" s="1907"/>
      <c r="W369" s="1907"/>
      <c r="X369" s="1907"/>
      <c r="Y369" s="1907"/>
      <c r="Z369" s="1907"/>
      <c r="AA369" s="1907"/>
      <c r="AB369" s="1907"/>
      <c r="AC369" s="1907"/>
      <c r="AD369" s="1907"/>
      <c r="AE369" s="1907"/>
      <c r="AF369" s="1907"/>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16" t="s">
        <v>601</v>
      </c>
      <c r="D370" s="1917"/>
      <c r="E370" s="754"/>
      <c r="F370" s="756" t="s">
        <v>1636</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05" t="s">
        <v>1637</v>
      </c>
      <c r="AG370" s="1905"/>
      <c r="AH370" s="1905"/>
      <c r="AI370" s="1905"/>
      <c r="AJ370" s="1905"/>
      <c r="AK370" s="1905"/>
      <c r="AL370" s="1918"/>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1488</v>
      </c>
      <c r="F373" s="1906" t="s">
        <v>1638</v>
      </c>
      <c r="G373" s="1906"/>
      <c r="H373" s="1906"/>
      <c r="I373" s="1906"/>
      <c r="J373" s="1906"/>
      <c r="K373" s="1906"/>
      <c r="L373" s="1906"/>
      <c r="M373" s="1906"/>
      <c r="N373" s="1906"/>
      <c r="O373" s="1906"/>
      <c r="P373" s="1906"/>
      <c r="Q373" s="1906"/>
      <c r="R373" s="1906"/>
      <c r="S373" s="1906"/>
      <c r="T373" s="1906"/>
      <c r="U373" s="1906"/>
      <c r="V373" s="1906"/>
      <c r="W373" s="1906"/>
      <c r="X373" s="1906"/>
      <c r="Y373" s="1906"/>
      <c r="Z373" s="1906"/>
      <c r="AA373" s="1906"/>
      <c r="AB373" s="1906"/>
      <c r="AC373" s="1906"/>
      <c r="AD373" s="1906"/>
      <c r="AE373" s="1906"/>
      <c r="AF373" s="1906"/>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07"/>
      <c r="G374" s="1907"/>
      <c r="H374" s="1907"/>
      <c r="I374" s="1907"/>
      <c r="J374" s="1907"/>
      <c r="K374" s="1907"/>
      <c r="L374" s="1907"/>
      <c r="M374" s="1907"/>
      <c r="N374" s="1907"/>
      <c r="O374" s="1907"/>
      <c r="P374" s="1907"/>
      <c r="Q374" s="1907"/>
      <c r="R374" s="1907"/>
      <c r="S374" s="1907"/>
      <c r="T374" s="1907"/>
      <c r="U374" s="1907"/>
      <c r="V374" s="1907"/>
      <c r="W374" s="1907"/>
      <c r="X374" s="1907"/>
      <c r="Y374" s="1907"/>
      <c r="Z374" s="1907"/>
      <c r="AA374" s="1907"/>
      <c r="AB374" s="1907"/>
      <c r="AC374" s="1907"/>
      <c r="AD374" s="1907"/>
      <c r="AE374" s="1907"/>
      <c r="AF374" s="1907"/>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07"/>
      <c r="G375" s="1907"/>
      <c r="H375" s="1907"/>
      <c r="I375" s="1907"/>
      <c r="J375" s="1907"/>
      <c r="K375" s="1907"/>
      <c r="L375" s="1907"/>
      <c r="M375" s="1907"/>
      <c r="N375" s="1907"/>
      <c r="O375" s="1907"/>
      <c r="P375" s="1907"/>
      <c r="Q375" s="1907"/>
      <c r="R375" s="1907"/>
      <c r="S375" s="1907"/>
      <c r="T375" s="1907"/>
      <c r="U375" s="1907"/>
      <c r="V375" s="1907"/>
      <c r="W375" s="1907"/>
      <c r="X375" s="1907"/>
      <c r="Y375" s="1907"/>
      <c r="Z375" s="1907"/>
      <c r="AA375" s="1907"/>
      <c r="AB375" s="1907"/>
      <c r="AC375" s="1907"/>
      <c r="AD375" s="1907"/>
      <c r="AE375" s="1907"/>
      <c r="AF375" s="1907"/>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07"/>
      <c r="G376" s="1907"/>
      <c r="H376" s="1907"/>
      <c r="I376" s="1907"/>
      <c r="J376" s="1907"/>
      <c r="K376" s="1907"/>
      <c r="L376" s="1907"/>
      <c r="M376" s="1907"/>
      <c r="N376" s="1907"/>
      <c r="O376" s="1907"/>
      <c r="P376" s="1907"/>
      <c r="Q376" s="1907"/>
      <c r="R376" s="1907"/>
      <c r="S376" s="1907"/>
      <c r="T376" s="1907"/>
      <c r="U376" s="1907"/>
      <c r="V376" s="1907"/>
      <c r="W376" s="1907"/>
      <c r="X376" s="1907"/>
      <c r="Y376" s="1907"/>
      <c r="Z376" s="1907"/>
      <c r="AA376" s="1907"/>
      <c r="AB376" s="1907"/>
      <c r="AC376" s="1907"/>
      <c r="AD376" s="1907"/>
      <c r="AE376" s="1907"/>
      <c r="AF376" s="1907"/>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07"/>
      <c r="G377" s="1907"/>
      <c r="H377" s="1907"/>
      <c r="I377" s="1907"/>
      <c r="J377" s="1907"/>
      <c r="K377" s="1907"/>
      <c r="L377" s="1907"/>
      <c r="M377" s="1907"/>
      <c r="N377" s="1907"/>
      <c r="O377" s="1907"/>
      <c r="P377" s="1907"/>
      <c r="Q377" s="1907"/>
      <c r="R377" s="1907"/>
      <c r="S377" s="1907"/>
      <c r="T377" s="1907"/>
      <c r="U377" s="1907"/>
      <c r="V377" s="1907"/>
      <c r="W377" s="1907"/>
      <c r="X377" s="1907"/>
      <c r="Y377" s="1907"/>
      <c r="Z377" s="1907"/>
      <c r="AA377" s="1907"/>
      <c r="AB377" s="1907"/>
      <c r="AC377" s="1907"/>
      <c r="AD377" s="1907"/>
      <c r="AE377" s="1907"/>
      <c r="AF377" s="1907"/>
      <c r="AL377" s="767"/>
      <c r="AN377" s="632"/>
      <c r="BS377" s="30"/>
      <c r="BT377" s="30"/>
      <c r="BU377" s="14"/>
      <c r="BV377" s="14"/>
      <c r="BW377" s="14"/>
      <c r="BX377" s="14"/>
      <c r="BY377" s="14"/>
      <c r="BZ377" s="14"/>
      <c r="CA377" s="14"/>
      <c r="CB377" s="14"/>
      <c r="CC377" s="14"/>
    </row>
    <row r="378" spans="1:81" s="585" customFormat="1" ht="12.75" customHeight="1">
      <c r="A378" s="571"/>
      <c r="B378" s="14"/>
      <c r="C378" s="1916" t="s">
        <v>601</v>
      </c>
      <c r="D378" s="1917"/>
      <c r="E378" s="726"/>
      <c r="F378" s="756" t="s">
        <v>1639</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05" t="s">
        <v>1637</v>
      </c>
      <c r="AG378" s="1905"/>
      <c r="AH378" s="1905"/>
      <c r="AI378" s="1905"/>
      <c r="AJ378" s="1905"/>
      <c r="AK378" s="1905"/>
      <c r="AL378" s="1918"/>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1491</v>
      </c>
      <c r="F381" s="1906" t="s">
        <v>1640</v>
      </c>
      <c r="G381" s="1906"/>
      <c r="H381" s="1906"/>
      <c r="I381" s="1906"/>
      <c r="J381" s="1906"/>
      <c r="K381" s="1906"/>
      <c r="L381" s="1906"/>
      <c r="M381" s="1906"/>
      <c r="N381" s="1906"/>
      <c r="O381" s="1906"/>
      <c r="P381" s="1906"/>
      <c r="Q381" s="1906"/>
      <c r="R381" s="1906"/>
      <c r="S381" s="1906"/>
      <c r="T381" s="1906"/>
      <c r="U381" s="1906"/>
      <c r="V381" s="1906"/>
      <c r="W381" s="1906"/>
      <c r="X381" s="1906"/>
      <c r="Y381" s="1906"/>
      <c r="Z381" s="1906"/>
      <c r="AA381" s="1906"/>
      <c r="AB381" s="1906"/>
      <c r="AC381" s="1906"/>
      <c r="AD381" s="1906"/>
      <c r="AE381" s="1906"/>
      <c r="AF381" s="1906"/>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07"/>
      <c r="G382" s="1907"/>
      <c r="H382" s="1907"/>
      <c r="I382" s="1907"/>
      <c r="J382" s="1907"/>
      <c r="K382" s="1907"/>
      <c r="L382" s="1907"/>
      <c r="M382" s="1907"/>
      <c r="N382" s="1907"/>
      <c r="O382" s="1907"/>
      <c r="P382" s="1907"/>
      <c r="Q382" s="1907"/>
      <c r="R382" s="1907"/>
      <c r="S382" s="1907"/>
      <c r="T382" s="1907"/>
      <c r="U382" s="1907"/>
      <c r="V382" s="1907"/>
      <c r="W382" s="1907"/>
      <c r="X382" s="1907"/>
      <c r="Y382" s="1907"/>
      <c r="Z382" s="1907"/>
      <c r="AA382" s="1907"/>
      <c r="AB382" s="1907"/>
      <c r="AC382" s="1907"/>
      <c r="AD382" s="1907"/>
      <c r="AE382" s="1907"/>
      <c r="AF382" s="1907"/>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07"/>
      <c r="G383" s="1907"/>
      <c r="H383" s="1907"/>
      <c r="I383" s="1907"/>
      <c r="J383" s="1907"/>
      <c r="K383" s="1907"/>
      <c r="L383" s="1907"/>
      <c r="M383" s="1907"/>
      <c r="N383" s="1907"/>
      <c r="O383" s="1907"/>
      <c r="P383" s="1907"/>
      <c r="Q383" s="1907"/>
      <c r="R383" s="1907"/>
      <c r="S383" s="1907"/>
      <c r="T383" s="1907"/>
      <c r="U383" s="1907"/>
      <c r="V383" s="1907"/>
      <c r="W383" s="1907"/>
      <c r="X383" s="1907"/>
      <c r="Y383" s="1907"/>
      <c r="Z383" s="1907"/>
      <c r="AA383" s="1907"/>
      <c r="AB383" s="1907"/>
      <c r="AC383" s="1907"/>
      <c r="AD383" s="1907"/>
      <c r="AE383" s="1907"/>
      <c r="AF383" s="1907"/>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07"/>
      <c r="G384" s="1907"/>
      <c r="H384" s="1907"/>
      <c r="I384" s="1907"/>
      <c r="J384" s="1907"/>
      <c r="K384" s="1907"/>
      <c r="L384" s="1907"/>
      <c r="M384" s="1907"/>
      <c r="N384" s="1907"/>
      <c r="O384" s="1907"/>
      <c r="P384" s="1907"/>
      <c r="Q384" s="1907"/>
      <c r="R384" s="1907"/>
      <c r="S384" s="1907"/>
      <c r="T384" s="1907"/>
      <c r="U384" s="1907"/>
      <c r="V384" s="1907"/>
      <c r="W384" s="1907"/>
      <c r="X384" s="1907"/>
      <c r="Y384" s="1907"/>
      <c r="Z384" s="1907"/>
      <c r="AA384" s="1907"/>
      <c r="AB384" s="1907"/>
      <c r="AC384" s="1907"/>
      <c r="AD384" s="1907"/>
      <c r="AE384" s="1907"/>
      <c r="AF384" s="1907"/>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07"/>
      <c r="G385" s="1907"/>
      <c r="H385" s="1907"/>
      <c r="I385" s="1907"/>
      <c r="J385" s="1907"/>
      <c r="K385" s="1907"/>
      <c r="L385" s="1907"/>
      <c r="M385" s="1907"/>
      <c r="N385" s="1907"/>
      <c r="O385" s="1907"/>
      <c r="P385" s="1907"/>
      <c r="Q385" s="1907"/>
      <c r="R385" s="1907"/>
      <c r="S385" s="1907"/>
      <c r="T385" s="1907"/>
      <c r="U385" s="1907"/>
      <c r="V385" s="1907"/>
      <c r="W385" s="1907"/>
      <c r="X385" s="1907"/>
      <c r="Y385" s="1907"/>
      <c r="Z385" s="1907"/>
      <c r="AA385" s="1907"/>
      <c r="AB385" s="1907"/>
      <c r="AC385" s="1907"/>
      <c r="AD385" s="1907"/>
      <c r="AE385" s="1907"/>
      <c r="AF385" s="1907"/>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16" t="s">
        <v>555</v>
      </c>
      <c r="D386" s="1917"/>
      <c r="E386" s="726"/>
      <c r="F386" s="756" t="s">
        <v>1641</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05" t="s">
        <v>1642</v>
      </c>
      <c r="AG386" s="1905"/>
      <c r="AH386" s="1905"/>
      <c r="AI386" s="1905"/>
      <c r="AJ386" s="1905"/>
      <c r="AK386" s="1905"/>
      <c r="AL386" s="1918"/>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16" t="s">
        <v>601</v>
      </c>
      <c r="D388" s="1917"/>
      <c r="E388" s="726"/>
      <c r="F388" s="773" t="s">
        <v>1643</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05" t="s">
        <v>1637</v>
      </c>
      <c r="AG388" s="1905"/>
      <c r="AH388" s="1905"/>
      <c r="AI388" s="1905"/>
      <c r="AJ388" s="1905"/>
      <c r="AK388" s="1905"/>
      <c r="AL388" s="1918"/>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1644</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1645</v>
      </c>
      <c r="F392" s="1906" t="s">
        <v>1646</v>
      </c>
      <c r="G392" s="1906"/>
      <c r="H392" s="1906"/>
      <c r="I392" s="1906"/>
      <c r="J392" s="1906"/>
      <c r="K392" s="1906"/>
      <c r="L392" s="1906"/>
      <c r="M392" s="1906"/>
      <c r="N392" s="1906"/>
      <c r="O392" s="1906"/>
      <c r="P392" s="1906"/>
      <c r="Q392" s="1906"/>
      <c r="R392" s="1906"/>
      <c r="S392" s="1906"/>
      <c r="T392" s="1906"/>
      <c r="U392" s="1906"/>
      <c r="V392" s="1906"/>
      <c r="W392" s="1906"/>
      <c r="X392" s="1906"/>
      <c r="Y392" s="1906"/>
      <c r="Z392" s="1906"/>
      <c r="AA392" s="1906"/>
      <c r="AB392" s="1906"/>
      <c r="AC392" s="1906"/>
      <c r="AD392" s="1906"/>
      <c r="AE392" s="1906"/>
      <c r="AF392" s="1906"/>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07"/>
      <c r="G393" s="1907"/>
      <c r="H393" s="1907"/>
      <c r="I393" s="1907"/>
      <c r="J393" s="1907"/>
      <c r="K393" s="1907"/>
      <c r="L393" s="1907"/>
      <c r="M393" s="1907"/>
      <c r="N393" s="1907"/>
      <c r="O393" s="1907"/>
      <c r="P393" s="1907"/>
      <c r="Q393" s="1907"/>
      <c r="R393" s="1907"/>
      <c r="S393" s="1907"/>
      <c r="T393" s="1907"/>
      <c r="U393" s="1907"/>
      <c r="V393" s="1907"/>
      <c r="W393" s="1907"/>
      <c r="X393" s="1907"/>
      <c r="Y393" s="1907"/>
      <c r="Z393" s="1907"/>
      <c r="AA393" s="1907"/>
      <c r="AB393" s="1907"/>
      <c r="AC393" s="1907"/>
      <c r="AD393" s="1907"/>
      <c r="AE393" s="1907"/>
      <c r="AF393" s="1907"/>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07"/>
      <c r="G394" s="1907"/>
      <c r="H394" s="1907"/>
      <c r="I394" s="1907"/>
      <c r="J394" s="1907"/>
      <c r="K394" s="1907"/>
      <c r="L394" s="1907"/>
      <c r="M394" s="1907"/>
      <c r="N394" s="1907"/>
      <c r="O394" s="1907"/>
      <c r="P394" s="1907"/>
      <c r="Q394" s="1907"/>
      <c r="R394" s="1907"/>
      <c r="S394" s="1907"/>
      <c r="T394" s="1907"/>
      <c r="U394" s="1907"/>
      <c r="V394" s="1907"/>
      <c r="W394" s="1907"/>
      <c r="X394" s="1907"/>
      <c r="Y394" s="1907"/>
      <c r="Z394" s="1907"/>
      <c r="AA394" s="1907"/>
      <c r="AB394" s="1907"/>
      <c r="AC394" s="1907"/>
      <c r="AD394" s="1907"/>
      <c r="AE394" s="1907"/>
      <c r="AF394" s="1907"/>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07"/>
      <c r="G395" s="1907"/>
      <c r="H395" s="1907"/>
      <c r="I395" s="1907"/>
      <c r="J395" s="1907"/>
      <c r="K395" s="1907"/>
      <c r="L395" s="1907"/>
      <c r="M395" s="1907"/>
      <c r="N395" s="1907"/>
      <c r="O395" s="1907"/>
      <c r="P395" s="1907"/>
      <c r="Q395" s="1907"/>
      <c r="R395" s="1907"/>
      <c r="S395" s="1907"/>
      <c r="T395" s="1907"/>
      <c r="U395" s="1907"/>
      <c r="V395" s="1907"/>
      <c r="W395" s="1907"/>
      <c r="X395" s="1907"/>
      <c r="Y395" s="1907"/>
      <c r="Z395" s="1907"/>
      <c r="AA395" s="1907"/>
      <c r="AB395" s="1907"/>
      <c r="AC395" s="1907"/>
      <c r="AD395" s="1907"/>
      <c r="AE395" s="1907"/>
      <c r="AF395" s="1907"/>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16" t="s">
        <v>601</v>
      </c>
      <c r="D396" s="1917"/>
      <c r="E396" s="726"/>
      <c r="F396" s="756" t="s">
        <v>1647</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05" t="s">
        <v>1637</v>
      </c>
      <c r="AG396" s="1905"/>
      <c r="AH396" s="1905"/>
      <c r="AI396" s="1905"/>
      <c r="AJ396" s="1905"/>
      <c r="AK396" s="1905"/>
      <c r="AL396" s="1918"/>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16" t="s">
        <v>555</v>
      </c>
      <c r="D398" s="1917"/>
      <c r="E398" s="754"/>
      <c r="F398" s="756" t="s">
        <v>1648</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05" t="s">
        <v>1649</v>
      </c>
      <c r="AG398" s="1905"/>
      <c r="AH398" s="1905"/>
      <c r="AI398" s="1905"/>
      <c r="AJ398" s="1905"/>
      <c r="AK398" s="1905"/>
      <c r="AL398" s="1918"/>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16" t="s">
        <v>601</v>
      </c>
      <c r="D401" s="1917"/>
      <c r="E401" s="750" t="s">
        <v>1650</v>
      </c>
      <c r="F401" s="1906" t="s">
        <v>1651</v>
      </c>
      <c r="G401" s="1906"/>
      <c r="H401" s="1906"/>
      <c r="I401" s="1906"/>
      <c r="J401" s="1906"/>
      <c r="K401" s="1906"/>
      <c r="L401" s="1906"/>
      <c r="M401" s="1906"/>
      <c r="N401" s="1906"/>
      <c r="O401" s="1906"/>
      <c r="P401" s="1906"/>
      <c r="Q401" s="1906"/>
      <c r="R401" s="1906"/>
      <c r="S401" s="1906"/>
      <c r="T401" s="1906"/>
      <c r="U401" s="1906"/>
      <c r="V401" s="1906"/>
      <c r="W401" s="1906"/>
      <c r="X401" s="1906"/>
      <c r="Y401" s="1906"/>
      <c r="Z401" s="1906"/>
      <c r="AA401" s="1906"/>
      <c r="AB401" s="1906"/>
      <c r="AC401" s="1906"/>
      <c r="AD401" s="1906"/>
      <c r="AE401" s="1906"/>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07"/>
      <c r="G402" s="1907"/>
      <c r="H402" s="1907"/>
      <c r="I402" s="1907"/>
      <c r="J402" s="1907"/>
      <c r="K402" s="1907"/>
      <c r="L402" s="1907"/>
      <c r="M402" s="1907"/>
      <c r="N402" s="1907"/>
      <c r="O402" s="1907"/>
      <c r="P402" s="1907"/>
      <c r="Q402" s="1907"/>
      <c r="R402" s="1907"/>
      <c r="S402" s="1907"/>
      <c r="T402" s="1907"/>
      <c r="U402" s="1907"/>
      <c r="V402" s="1907"/>
      <c r="W402" s="1907"/>
      <c r="X402" s="1907"/>
      <c r="Y402" s="1907"/>
      <c r="Z402" s="1907"/>
      <c r="AA402" s="1907"/>
      <c r="AB402" s="1907"/>
      <c r="AC402" s="1907"/>
      <c r="AD402" s="1907"/>
      <c r="AE402" s="1907"/>
      <c r="AF402" s="1975" t="s">
        <v>1637</v>
      </c>
      <c r="AG402" s="1975"/>
      <c r="AH402" s="1975"/>
      <c r="AI402" s="1975"/>
      <c r="AJ402" s="1975"/>
      <c r="AK402" s="1975"/>
      <c r="AL402" s="2005"/>
      <c r="AM402" s="605"/>
      <c r="AN402" s="632"/>
      <c r="BS402" s="605"/>
      <c r="BT402" s="605"/>
      <c r="BY402" s="605"/>
      <c r="BZ402" s="605"/>
      <c r="CA402" s="605"/>
      <c r="CB402" s="605"/>
      <c r="CC402" s="605"/>
    </row>
    <row r="403" spans="1:81" s="585" customFormat="1" ht="12.75" customHeight="1">
      <c r="A403" s="571"/>
      <c r="B403" s="14"/>
      <c r="C403" s="766"/>
      <c r="D403" s="14"/>
      <c r="E403" s="726"/>
      <c r="F403" s="1907"/>
      <c r="G403" s="1907"/>
      <c r="H403" s="1907"/>
      <c r="I403" s="1907"/>
      <c r="J403" s="1907"/>
      <c r="K403" s="1907"/>
      <c r="L403" s="1907"/>
      <c r="M403" s="1907"/>
      <c r="N403" s="1907"/>
      <c r="O403" s="1907"/>
      <c r="P403" s="1907"/>
      <c r="Q403" s="1907"/>
      <c r="R403" s="1907"/>
      <c r="S403" s="1907"/>
      <c r="T403" s="1907"/>
      <c r="U403" s="1907"/>
      <c r="V403" s="1907"/>
      <c r="W403" s="1907"/>
      <c r="X403" s="1907"/>
      <c r="Y403" s="1907"/>
      <c r="Z403" s="1907"/>
      <c r="AA403" s="1907"/>
      <c r="AB403" s="1907"/>
      <c r="AC403" s="1907"/>
      <c r="AD403" s="1907"/>
      <c r="AE403" s="1907"/>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89"/>
      <c r="G404" s="1989"/>
      <c r="H404" s="1989"/>
      <c r="I404" s="1989"/>
      <c r="J404" s="1989"/>
      <c r="K404" s="1989"/>
      <c r="L404" s="1989"/>
      <c r="M404" s="1989"/>
      <c r="N404" s="1989"/>
      <c r="O404" s="1989"/>
      <c r="P404" s="1989"/>
      <c r="Q404" s="1989"/>
      <c r="R404" s="1989"/>
      <c r="S404" s="1989"/>
      <c r="T404" s="1989"/>
      <c r="U404" s="1989"/>
      <c r="V404" s="1989"/>
      <c r="W404" s="1989"/>
      <c r="X404" s="1989"/>
      <c r="Y404" s="1989"/>
      <c r="Z404" s="1989"/>
      <c r="AA404" s="1989"/>
      <c r="AB404" s="1989"/>
      <c r="AC404" s="1989"/>
      <c r="AD404" s="1989"/>
      <c r="AE404" s="1989"/>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1652</v>
      </c>
      <c r="F406" s="1906" t="s">
        <v>1653</v>
      </c>
      <c r="G406" s="1906"/>
      <c r="H406" s="1906"/>
      <c r="I406" s="1906"/>
      <c r="J406" s="1906"/>
      <c r="K406" s="1906"/>
      <c r="L406" s="1906"/>
      <c r="M406" s="1906"/>
      <c r="N406" s="1906"/>
      <c r="O406" s="1906"/>
      <c r="P406" s="1906"/>
      <c r="Q406" s="1906"/>
      <c r="R406" s="1906"/>
      <c r="S406" s="1906"/>
      <c r="T406" s="1906"/>
      <c r="U406" s="1906"/>
      <c r="V406" s="1906"/>
      <c r="W406" s="1906"/>
      <c r="X406" s="1906"/>
      <c r="Y406" s="1906"/>
      <c r="Z406" s="1906"/>
      <c r="AA406" s="1906"/>
      <c r="AB406" s="1906"/>
      <c r="AC406" s="1906"/>
      <c r="AD406" s="1906"/>
      <c r="AE406" s="1906"/>
      <c r="AF406" s="782"/>
      <c r="AG406" s="782"/>
      <c r="AH406" s="782"/>
      <c r="AI406" s="782"/>
      <c r="AJ406" s="782"/>
      <c r="AK406" s="782"/>
      <c r="AL406" s="783"/>
      <c r="AM406" s="605"/>
    </row>
    <row r="407" spans="1:81">
      <c r="A407" s="571"/>
      <c r="C407" s="766"/>
      <c r="E407" s="726"/>
      <c r="F407" s="1907"/>
      <c r="G407" s="1907"/>
      <c r="H407" s="1907"/>
      <c r="I407" s="1907"/>
      <c r="J407" s="1907"/>
      <c r="K407" s="1907"/>
      <c r="L407" s="1907"/>
      <c r="M407" s="1907"/>
      <c r="N407" s="1907"/>
      <c r="O407" s="1907"/>
      <c r="P407" s="1907"/>
      <c r="Q407" s="1907"/>
      <c r="R407" s="1907"/>
      <c r="S407" s="1907"/>
      <c r="T407" s="1907"/>
      <c r="U407" s="1907"/>
      <c r="V407" s="1907"/>
      <c r="W407" s="1907"/>
      <c r="X407" s="1907"/>
      <c r="Y407" s="1907"/>
      <c r="Z407" s="1907"/>
      <c r="AA407" s="1907"/>
      <c r="AB407" s="1907"/>
      <c r="AC407" s="1907"/>
      <c r="AD407" s="1907"/>
      <c r="AE407" s="1907"/>
      <c r="AF407" s="574"/>
      <c r="AG407" s="571"/>
      <c r="AH407" s="585"/>
      <c r="AI407" s="585"/>
      <c r="AJ407" s="585"/>
      <c r="AK407" s="585"/>
      <c r="AL407" s="767"/>
      <c r="AM407" s="605"/>
    </row>
    <row r="408" spans="1:81" s="585" customFormat="1" ht="12.75" customHeight="1">
      <c r="A408" s="571"/>
      <c r="B408" s="14"/>
      <c r="C408" s="766"/>
      <c r="D408" s="14"/>
      <c r="E408" s="726"/>
      <c r="F408" s="1907"/>
      <c r="G408" s="1907"/>
      <c r="H408" s="1907"/>
      <c r="I408" s="1907"/>
      <c r="J408" s="1907"/>
      <c r="K408" s="1907"/>
      <c r="L408" s="1907"/>
      <c r="M408" s="1907"/>
      <c r="N408" s="1907"/>
      <c r="O408" s="1907"/>
      <c r="P408" s="1907"/>
      <c r="Q408" s="1907"/>
      <c r="R408" s="1907"/>
      <c r="S408" s="1907"/>
      <c r="T408" s="1907"/>
      <c r="U408" s="1907"/>
      <c r="V408" s="1907"/>
      <c r="W408" s="1907"/>
      <c r="X408" s="1907"/>
      <c r="Y408" s="1907"/>
      <c r="Z408" s="1907"/>
      <c r="AA408" s="1907"/>
      <c r="AB408" s="1907"/>
      <c r="AC408" s="1907"/>
      <c r="AD408" s="1907"/>
      <c r="AE408" s="1907"/>
      <c r="AL408" s="767"/>
      <c r="AM408" s="605"/>
      <c r="AN408" s="632"/>
    </row>
    <row r="409" spans="1:81" s="585" customFormat="1" ht="12.75" customHeight="1">
      <c r="A409" s="571"/>
      <c r="B409" s="14"/>
      <c r="C409" s="774"/>
      <c r="F409" s="1907"/>
      <c r="G409" s="1907"/>
      <c r="H409" s="1907"/>
      <c r="I409" s="1907"/>
      <c r="J409" s="1907"/>
      <c r="K409" s="1907"/>
      <c r="L409" s="1907"/>
      <c r="M409" s="1907"/>
      <c r="N409" s="1907"/>
      <c r="O409" s="1907"/>
      <c r="P409" s="1907"/>
      <c r="Q409" s="1907"/>
      <c r="R409" s="1907"/>
      <c r="S409" s="1907"/>
      <c r="T409" s="1907"/>
      <c r="U409" s="1907"/>
      <c r="V409" s="1907"/>
      <c r="W409" s="1907"/>
      <c r="X409" s="1907"/>
      <c r="Y409" s="1907"/>
      <c r="Z409" s="1907"/>
      <c r="AA409" s="1907"/>
      <c r="AB409" s="1907"/>
      <c r="AC409" s="1907"/>
      <c r="AD409" s="1907"/>
      <c r="AE409" s="1907"/>
      <c r="AL409" s="767"/>
      <c r="AM409" s="605"/>
      <c r="AN409" s="632"/>
    </row>
    <row r="410" spans="1:81" s="585" customFormat="1" ht="12.75" customHeight="1">
      <c r="A410" s="571"/>
      <c r="B410" s="14"/>
      <c r="C410" s="1916" t="s">
        <v>601</v>
      </c>
      <c r="D410" s="1917"/>
      <c r="E410" s="726"/>
      <c r="F410" s="756" t="s">
        <v>1654</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75" t="s">
        <v>1637</v>
      </c>
      <c r="AG410" s="1975"/>
      <c r="AH410" s="1975"/>
      <c r="AI410" s="1975"/>
      <c r="AJ410" s="1975"/>
      <c r="AK410" s="1975"/>
      <c r="AL410" s="2005"/>
      <c r="AM410" s="605"/>
      <c r="AN410" s="632"/>
    </row>
    <row r="411" spans="1:81" s="585" customFormat="1" ht="12.75" customHeight="1">
      <c r="A411" s="571"/>
      <c r="B411" s="14"/>
      <c r="C411" s="774"/>
      <c r="AL411" s="767"/>
      <c r="AM411" s="605"/>
      <c r="AN411" s="632"/>
    </row>
    <row r="412" spans="1:81" s="585" customFormat="1" ht="12.75" customHeight="1">
      <c r="A412" s="571"/>
      <c r="B412" s="14"/>
      <c r="C412" s="1916" t="s">
        <v>601</v>
      </c>
      <c r="D412" s="1917"/>
      <c r="E412" s="754"/>
      <c r="F412" s="756" t="s">
        <v>1655</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75" t="s">
        <v>1649</v>
      </c>
      <c r="AG412" s="1975"/>
      <c r="AH412" s="1975"/>
      <c r="AI412" s="1975"/>
      <c r="AJ412" s="1975"/>
      <c r="AK412" s="1975"/>
      <c r="AL412" s="2005"/>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1656</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1657</v>
      </c>
      <c r="F416" s="1906" t="s">
        <v>1658</v>
      </c>
      <c r="G416" s="1906"/>
      <c r="H416" s="1906"/>
      <c r="I416" s="1906"/>
      <c r="J416" s="1906"/>
      <c r="K416" s="1906"/>
      <c r="L416" s="1906"/>
      <c r="M416" s="1906"/>
      <c r="N416" s="1906"/>
      <c r="O416" s="1906"/>
      <c r="P416" s="1906"/>
      <c r="Q416" s="1906"/>
      <c r="R416" s="1906"/>
      <c r="S416" s="1906"/>
      <c r="T416" s="1906"/>
      <c r="U416" s="1906"/>
      <c r="V416" s="1906"/>
      <c r="W416" s="1906"/>
      <c r="X416" s="1906"/>
      <c r="Y416" s="1906"/>
      <c r="Z416" s="1906"/>
      <c r="AA416" s="1906"/>
      <c r="AB416" s="1906"/>
      <c r="AC416" s="1906"/>
      <c r="AD416" s="1906"/>
      <c r="AE416" s="1906"/>
      <c r="AF416" s="749"/>
      <c r="AG416" s="749"/>
      <c r="AH416" s="749"/>
      <c r="AI416" s="749"/>
      <c r="AJ416" s="749"/>
      <c r="AK416" s="749"/>
      <c r="AL416" s="780"/>
      <c r="AM416" s="605"/>
      <c r="AN416" s="632"/>
    </row>
    <row r="417" spans="1:60" s="585" customFormat="1" ht="12.75" customHeight="1">
      <c r="A417" s="571"/>
      <c r="B417" s="14"/>
      <c r="C417" s="766"/>
      <c r="D417" s="14"/>
      <c r="E417" s="726"/>
      <c r="F417" s="1907"/>
      <c r="G417" s="1907"/>
      <c r="H417" s="1907"/>
      <c r="I417" s="1907"/>
      <c r="J417" s="1907"/>
      <c r="K417" s="1907"/>
      <c r="L417" s="1907"/>
      <c r="M417" s="1907"/>
      <c r="N417" s="1907"/>
      <c r="O417" s="1907"/>
      <c r="P417" s="1907"/>
      <c r="Q417" s="1907"/>
      <c r="R417" s="1907"/>
      <c r="S417" s="1907"/>
      <c r="T417" s="1907"/>
      <c r="U417" s="1907"/>
      <c r="V417" s="1907"/>
      <c r="W417" s="1907"/>
      <c r="X417" s="1907"/>
      <c r="Y417" s="1907"/>
      <c r="Z417" s="1907"/>
      <c r="AA417" s="1907"/>
      <c r="AB417" s="1907"/>
      <c r="AC417" s="1907"/>
      <c r="AD417" s="1907"/>
      <c r="AE417" s="1907"/>
      <c r="AF417" s="574"/>
      <c r="AG417" s="571"/>
      <c r="AL417" s="767"/>
      <c r="AM417" s="605"/>
      <c r="AN417" s="632"/>
    </row>
    <row r="418" spans="1:60" s="585" customFormat="1" ht="12.45" customHeight="1">
      <c r="A418" s="571"/>
      <c r="B418" s="14"/>
      <c r="C418" s="766"/>
      <c r="D418" s="14"/>
      <c r="E418" s="726"/>
      <c r="F418" s="1907"/>
      <c r="G418" s="1907"/>
      <c r="H418" s="1907"/>
      <c r="I418" s="1907"/>
      <c r="J418" s="1907"/>
      <c r="K418" s="1907"/>
      <c r="L418" s="1907"/>
      <c r="M418" s="1907"/>
      <c r="N418" s="1907"/>
      <c r="O418" s="1907"/>
      <c r="P418" s="1907"/>
      <c r="Q418" s="1907"/>
      <c r="R418" s="1907"/>
      <c r="S418" s="1907"/>
      <c r="T418" s="1907"/>
      <c r="U418" s="1907"/>
      <c r="V418" s="1907"/>
      <c r="W418" s="1907"/>
      <c r="X418" s="1907"/>
      <c r="Y418" s="1907"/>
      <c r="Z418" s="1907"/>
      <c r="AA418" s="1907"/>
      <c r="AB418" s="1907"/>
      <c r="AC418" s="1907"/>
      <c r="AD418" s="1907"/>
      <c r="AE418" s="1907"/>
      <c r="AL418" s="767"/>
      <c r="AM418" s="605"/>
      <c r="AN418" s="632"/>
    </row>
    <row r="419" spans="1:60" s="585" customFormat="1" ht="12.75" customHeight="1">
      <c r="A419" s="571"/>
      <c r="B419" s="14"/>
      <c r="C419" s="1916" t="s">
        <v>601</v>
      </c>
      <c r="D419" s="1917"/>
      <c r="E419" s="726"/>
      <c r="F419" s="756" t="s">
        <v>1659</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75" t="s">
        <v>1637</v>
      </c>
      <c r="AG419" s="1975"/>
      <c r="AH419" s="1975"/>
      <c r="AI419" s="1975"/>
      <c r="AJ419" s="1975"/>
      <c r="AK419" s="1975"/>
      <c r="AL419" s="2005"/>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2" customHeight="1">
      <c r="A422" s="571"/>
      <c r="C422" s="781"/>
      <c r="D422" s="782"/>
      <c r="E422" s="750" t="s">
        <v>1660</v>
      </c>
      <c r="F422" s="1906" t="s">
        <v>1661</v>
      </c>
      <c r="G422" s="1906"/>
      <c r="H422" s="1906"/>
      <c r="I422" s="1906"/>
      <c r="J422" s="1906"/>
      <c r="K422" s="1906"/>
      <c r="L422" s="1906"/>
      <c r="M422" s="1906"/>
      <c r="N422" s="1906"/>
      <c r="O422" s="1906"/>
      <c r="P422" s="1906"/>
      <c r="Q422" s="1906"/>
      <c r="R422" s="1906"/>
      <c r="S422" s="1906"/>
      <c r="T422" s="1906"/>
      <c r="U422" s="1906"/>
      <c r="V422" s="1906"/>
      <c r="W422" s="1906"/>
      <c r="X422" s="1906"/>
      <c r="Y422" s="1906"/>
      <c r="Z422" s="1906"/>
      <c r="AA422" s="1906"/>
      <c r="AB422" s="1906"/>
      <c r="AC422" s="1906"/>
      <c r="AD422" s="1906"/>
      <c r="AE422" s="1906"/>
      <c r="AF422" s="782"/>
      <c r="AG422" s="782"/>
      <c r="AH422" s="782"/>
      <c r="AI422" s="782"/>
      <c r="AJ422" s="782"/>
      <c r="AK422" s="782"/>
      <c r="AL422" s="783"/>
      <c r="AM422" s="605"/>
      <c r="AO422" s="585"/>
      <c r="AP422" s="585"/>
      <c r="BD422" s="14"/>
      <c r="BE422" s="14"/>
      <c r="BF422" s="14"/>
      <c r="BG422" s="14"/>
      <c r="BH422" s="14"/>
    </row>
    <row r="423" spans="1:60">
      <c r="A423" s="571"/>
      <c r="C423" s="766"/>
      <c r="E423" s="726"/>
      <c r="F423" s="1907"/>
      <c r="G423" s="1907"/>
      <c r="H423" s="1907"/>
      <c r="I423" s="1907"/>
      <c r="J423" s="1907"/>
      <c r="K423" s="1907"/>
      <c r="L423" s="1907"/>
      <c r="M423" s="1907"/>
      <c r="N423" s="1907"/>
      <c r="O423" s="1907"/>
      <c r="P423" s="1907"/>
      <c r="Q423" s="1907"/>
      <c r="R423" s="1907"/>
      <c r="S423" s="1907"/>
      <c r="T423" s="1907"/>
      <c r="U423" s="1907"/>
      <c r="V423" s="1907"/>
      <c r="W423" s="1907"/>
      <c r="X423" s="1907"/>
      <c r="Y423" s="1907"/>
      <c r="Z423" s="1907"/>
      <c r="AA423" s="1907"/>
      <c r="AB423" s="1907"/>
      <c r="AC423" s="1907"/>
      <c r="AD423" s="1907"/>
      <c r="AE423" s="1907"/>
      <c r="AF423" s="629"/>
      <c r="AG423" s="629"/>
      <c r="AH423" s="629"/>
      <c r="AI423" s="629"/>
      <c r="AJ423" s="629"/>
      <c r="AK423" s="629"/>
      <c r="AL423" s="786"/>
      <c r="AM423" s="605"/>
      <c r="AO423" s="585"/>
      <c r="AP423" s="585"/>
    </row>
    <row r="424" spans="1:60" s="585" customFormat="1" ht="12.75" customHeight="1">
      <c r="A424" s="571"/>
      <c r="B424" s="14"/>
      <c r="C424" s="766"/>
      <c r="D424" s="14"/>
      <c r="E424" s="726"/>
      <c r="F424" s="1907"/>
      <c r="G424" s="1907"/>
      <c r="H424" s="1907"/>
      <c r="I424" s="1907"/>
      <c r="J424" s="1907"/>
      <c r="K424" s="1907"/>
      <c r="L424" s="1907"/>
      <c r="M424" s="1907"/>
      <c r="N424" s="1907"/>
      <c r="O424" s="1907"/>
      <c r="P424" s="1907"/>
      <c r="Q424" s="1907"/>
      <c r="R424" s="1907"/>
      <c r="S424" s="1907"/>
      <c r="T424" s="1907"/>
      <c r="U424" s="1907"/>
      <c r="V424" s="1907"/>
      <c r="W424" s="1907"/>
      <c r="X424" s="1907"/>
      <c r="Y424" s="1907"/>
      <c r="Z424" s="1907"/>
      <c r="AA424" s="1907"/>
      <c r="AB424" s="1907"/>
      <c r="AC424" s="1907"/>
      <c r="AD424" s="1907"/>
      <c r="AE424" s="1907"/>
      <c r="AF424" s="629"/>
      <c r="AG424" s="629"/>
      <c r="AH424" s="629"/>
      <c r="AI424" s="629"/>
      <c r="AJ424" s="629"/>
      <c r="AK424" s="629"/>
      <c r="AL424" s="786"/>
      <c r="AM424" s="605"/>
      <c r="AN424" s="632"/>
    </row>
    <row r="425" spans="1:60" s="585" customFormat="1" ht="12.75" customHeight="1">
      <c r="A425" s="571"/>
      <c r="B425" s="14"/>
      <c r="C425" s="787"/>
      <c r="D425" s="765"/>
      <c r="E425" s="754"/>
      <c r="F425" s="1907"/>
      <c r="G425" s="1907"/>
      <c r="H425" s="1907"/>
      <c r="I425" s="1907"/>
      <c r="J425" s="1907"/>
      <c r="K425" s="1907"/>
      <c r="L425" s="1907"/>
      <c r="M425" s="1907"/>
      <c r="N425" s="1907"/>
      <c r="O425" s="1907"/>
      <c r="P425" s="1907"/>
      <c r="Q425" s="1907"/>
      <c r="R425" s="1907"/>
      <c r="S425" s="1907"/>
      <c r="T425" s="1907"/>
      <c r="U425" s="1907"/>
      <c r="V425" s="1907"/>
      <c r="W425" s="1907"/>
      <c r="X425" s="1907"/>
      <c r="Y425" s="1907"/>
      <c r="Z425" s="1907"/>
      <c r="AA425" s="1907"/>
      <c r="AB425" s="1907"/>
      <c r="AC425" s="1907"/>
      <c r="AD425" s="1907"/>
      <c r="AE425" s="1907"/>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07"/>
      <c r="G426" s="1907"/>
      <c r="H426" s="1907"/>
      <c r="I426" s="1907"/>
      <c r="J426" s="1907"/>
      <c r="K426" s="1907"/>
      <c r="L426" s="1907"/>
      <c r="M426" s="1907"/>
      <c r="N426" s="1907"/>
      <c r="O426" s="1907"/>
      <c r="P426" s="1907"/>
      <c r="Q426" s="1907"/>
      <c r="R426" s="1907"/>
      <c r="S426" s="1907"/>
      <c r="T426" s="1907"/>
      <c r="U426" s="1907"/>
      <c r="V426" s="1907"/>
      <c r="W426" s="1907"/>
      <c r="X426" s="1907"/>
      <c r="Y426" s="1907"/>
      <c r="Z426" s="1907"/>
      <c r="AA426" s="1907"/>
      <c r="AB426" s="1907"/>
      <c r="AC426" s="1907"/>
      <c r="AD426" s="1907"/>
      <c r="AE426" s="1907"/>
      <c r="AF426" s="629"/>
      <c r="AG426" s="629"/>
      <c r="AH426" s="629"/>
      <c r="AI426" s="629"/>
      <c r="AJ426" s="629"/>
      <c r="AK426" s="629"/>
      <c r="AL426" s="786"/>
      <c r="AM426" s="605"/>
      <c r="AN426" s="632"/>
    </row>
    <row r="427" spans="1:60" s="585" customFormat="1" ht="12.75" customHeight="1">
      <c r="A427" s="571"/>
      <c r="B427" s="14"/>
      <c r="C427" s="787"/>
      <c r="D427" s="765"/>
      <c r="E427" s="754"/>
      <c r="F427" s="1907"/>
      <c r="G427" s="1907"/>
      <c r="H427" s="1907"/>
      <c r="I427" s="1907"/>
      <c r="J427" s="1907"/>
      <c r="K427" s="1907"/>
      <c r="L427" s="1907"/>
      <c r="M427" s="1907"/>
      <c r="N427" s="1907"/>
      <c r="O427" s="1907"/>
      <c r="P427" s="1907"/>
      <c r="Q427" s="1907"/>
      <c r="R427" s="1907"/>
      <c r="S427" s="1907"/>
      <c r="T427" s="1907"/>
      <c r="U427" s="1907"/>
      <c r="V427" s="1907"/>
      <c r="W427" s="1907"/>
      <c r="X427" s="1907"/>
      <c r="Y427" s="1907"/>
      <c r="Z427" s="1907"/>
      <c r="AA427" s="1907"/>
      <c r="AB427" s="1907"/>
      <c r="AC427" s="1907"/>
      <c r="AD427" s="1907"/>
      <c r="AE427" s="1907"/>
      <c r="AF427" s="629"/>
      <c r="AG427" s="629"/>
      <c r="AH427" s="629"/>
      <c r="AI427" s="629"/>
      <c r="AJ427" s="629"/>
      <c r="AK427" s="629"/>
      <c r="AL427" s="786"/>
      <c r="AM427" s="605"/>
      <c r="AN427" s="632"/>
    </row>
    <row r="428" spans="1:60" s="585" customFormat="1" ht="12.75" customHeight="1">
      <c r="A428" s="571"/>
      <c r="B428" s="14"/>
      <c r="C428" s="787"/>
      <c r="D428" s="765"/>
      <c r="E428" s="754"/>
      <c r="F428" s="1907"/>
      <c r="G428" s="1907"/>
      <c r="H428" s="1907"/>
      <c r="I428" s="1907"/>
      <c r="J428" s="1907"/>
      <c r="K428" s="1907"/>
      <c r="L428" s="1907"/>
      <c r="M428" s="1907"/>
      <c r="N428" s="1907"/>
      <c r="O428" s="1907"/>
      <c r="P428" s="1907"/>
      <c r="Q428" s="1907"/>
      <c r="R428" s="1907"/>
      <c r="S428" s="1907"/>
      <c r="T428" s="1907"/>
      <c r="U428" s="1907"/>
      <c r="V428" s="1907"/>
      <c r="W428" s="1907"/>
      <c r="X428" s="1907"/>
      <c r="Y428" s="1907"/>
      <c r="Z428" s="1907"/>
      <c r="AA428" s="1907"/>
      <c r="AB428" s="1907"/>
      <c r="AC428" s="1907"/>
      <c r="AD428" s="1907"/>
      <c r="AE428" s="1907"/>
      <c r="AF428" s="629"/>
      <c r="AG428" s="629"/>
      <c r="AH428" s="629"/>
      <c r="AI428" s="629"/>
      <c r="AJ428" s="629"/>
      <c r="AK428" s="629"/>
      <c r="AL428" s="786"/>
      <c r="AM428" s="605"/>
      <c r="AN428" s="632"/>
    </row>
    <row r="429" spans="1:60" s="585" customFormat="1" ht="12.75" customHeight="1">
      <c r="A429" s="571"/>
      <c r="B429" s="14"/>
      <c r="C429" s="787"/>
      <c r="D429" s="765"/>
      <c r="E429" s="754"/>
      <c r="F429" s="1907"/>
      <c r="G429" s="1907"/>
      <c r="H429" s="1907"/>
      <c r="I429" s="1907"/>
      <c r="J429" s="1907"/>
      <c r="K429" s="1907"/>
      <c r="L429" s="1907"/>
      <c r="M429" s="1907"/>
      <c r="N429" s="1907"/>
      <c r="O429" s="1907"/>
      <c r="P429" s="1907"/>
      <c r="Q429" s="1907"/>
      <c r="R429" s="1907"/>
      <c r="S429" s="1907"/>
      <c r="T429" s="1907"/>
      <c r="U429" s="1907"/>
      <c r="V429" s="1907"/>
      <c r="W429" s="1907"/>
      <c r="X429" s="1907"/>
      <c r="Y429" s="1907"/>
      <c r="Z429" s="1907"/>
      <c r="AA429" s="1907"/>
      <c r="AB429" s="1907"/>
      <c r="AC429" s="1907"/>
      <c r="AD429" s="1907"/>
      <c r="AE429" s="1907"/>
      <c r="AF429" s="629"/>
      <c r="AG429" s="629"/>
      <c r="AH429" s="629"/>
      <c r="AI429" s="629"/>
      <c r="AJ429" s="629"/>
      <c r="AK429" s="629"/>
      <c r="AL429" s="786"/>
      <c r="AM429" s="605"/>
      <c r="AN429" s="632"/>
    </row>
    <row r="430" spans="1:60" s="585" customFormat="1" ht="17.25" customHeight="1">
      <c r="A430" s="571"/>
      <c r="B430" s="14"/>
      <c r="C430" s="787"/>
      <c r="D430" s="765"/>
      <c r="E430" s="754"/>
      <c r="F430" s="1907"/>
      <c r="G430" s="1907"/>
      <c r="H430" s="1907"/>
      <c r="I430" s="1907"/>
      <c r="J430" s="1907"/>
      <c r="K430" s="1907"/>
      <c r="L430" s="1907"/>
      <c r="M430" s="1907"/>
      <c r="N430" s="1907"/>
      <c r="O430" s="1907"/>
      <c r="P430" s="1907"/>
      <c r="Q430" s="1907"/>
      <c r="R430" s="1907"/>
      <c r="S430" s="1907"/>
      <c r="T430" s="1907"/>
      <c r="U430" s="1907"/>
      <c r="V430" s="1907"/>
      <c r="W430" s="1907"/>
      <c r="X430" s="1907"/>
      <c r="Y430" s="1907"/>
      <c r="Z430" s="1907"/>
      <c r="AA430" s="1907"/>
      <c r="AB430" s="1907"/>
      <c r="AC430" s="1907"/>
      <c r="AD430" s="1907"/>
      <c r="AE430" s="1907"/>
      <c r="AL430" s="767"/>
      <c r="AM430" s="605"/>
      <c r="AN430" s="632"/>
    </row>
    <row r="431" spans="1:60" s="585" customFormat="1" ht="12.75" customHeight="1">
      <c r="A431" s="571"/>
      <c r="B431" s="14"/>
      <c r="C431" s="1916" t="s">
        <v>601</v>
      </c>
      <c r="D431" s="1917"/>
      <c r="E431" s="754"/>
      <c r="F431" s="631" t="s">
        <v>1662</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75" t="s">
        <v>1637</v>
      </c>
      <c r="AG431" s="1975"/>
      <c r="AH431" s="1975"/>
      <c r="AI431" s="1975"/>
      <c r="AJ431" s="1975"/>
      <c r="AK431" s="1975"/>
      <c r="AL431" s="2005"/>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1663</v>
      </c>
      <c r="F434" s="1906" t="s">
        <v>1664</v>
      </c>
      <c r="G434" s="1906"/>
      <c r="H434" s="1906"/>
      <c r="I434" s="1906"/>
      <c r="J434" s="1906"/>
      <c r="K434" s="1906"/>
      <c r="L434" s="1906"/>
      <c r="M434" s="1906"/>
      <c r="N434" s="1906"/>
      <c r="O434" s="1906"/>
      <c r="P434" s="1906"/>
      <c r="Q434" s="1906"/>
      <c r="R434" s="1906"/>
      <c r="S434" s="1906"/>
      <c r="T434" s="1906"/>
      <c r="U434" s="1906"/>
      <c r="V434" s="1906"/>
      <c r="W434" s="1906"/>
      <c r="X434" s="1906"/>
      <c r="Y434" s="1906"/>
      <c r="Z434" s="1906"/>
      <c r="AA434" s="1906"/>
      <c r="AB434" s="1906"/>
      <c r="AC434" s="1906"/>
      <c r="AD434" s="1906"/>
      <c r="AE434" s="1906"/>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07"/>
      <c r="G435" s="1907"/>
      <c r="H435" s="1907"/>
      <c r="I435" s="1907"/>
      <c r="J435" s="1907"/>
      <c r="K435" s="1907"/>
      <c r="L435" s="1907"/>
      <c r="M435" s="1907"/>
      <c r="N435" s="1907"/>
      <c r="O435" s="1907"/>
      <c r="P435" s="1907"/>
      <c r="Q435" s="1907"/>
      <c r="R435" s="1907"/>
      <c r="S435" s="1907"/>
      <c r="T435" s="1907"/>
      <c r="U435" s="1907"/>
      <c r="V435" s="1907"/>
      <c r="W435" s="1907"/>
      <c r="X435" s="1907"/>
      <c r="Y435" s="1907"/>
      <c r="Z435" s="1907"/>
      <c r="AA435" s="1907"/>
      <c r="AB435" s="1907"/>
      <c r="AC435" s="1907"/>
      <c r="AD435" s="1907"/>
      <c r="AE435" s="1907"/>
      <c r="AF435" s="626"/>
      <c r="AG435" s="626"/>
      <c r="AH435" s="626"/>
      <c r="AI435" s="626"/>
      <c r="AJ435" s="626"/>
      <c r="AK435" s="626"/>
      <c r="AL435" s="755"/>
      <c r="AM435" s="605"/>
      <c r="AN435" s="632"/>
      <c r="AO435" s="585" t="s">
        <v>1665</v>
      </c>
      <c r="AP435" s="585">
        <v>5</v>
      </c>
      <c r="AQ435" s="788"/>
    </row>
    <row r="436" spans="1:54" s="585" customFormat="1" ht="12.75" customHeight="1">
      <c r="A436" s="571"/>
      <c r="B436" s="14"/>
      <c r="C436" s="787"/>
      <c r="D436" s="765"/>
      <c r="E436" s="754"/>
      <c r="F436" s="1907"/>
      <c r="G436" s="1907"/>
      <c r="H436" s="1907"/>
      <c r="I436" s="1907"/>
      <c r="J436" s="1907"/>
      <c r="K436" s="1907"/>
      <c r="L436" s="1907"/>
      <c r="M436" s="1907"/>
      <c r="N436" s="1907"/>
      <c r="O436" s="1907"/>
      <c r="P436" s="1907"/>
      <c r="Q436" s="1907"/>
      <c r="R436" s="1907"/>
      <c r="S436" s="1907"/>
      <c r="T436" s="1907"/>
      <c r="U436" s="1907"/>
      <c r="V436" s="1907"/>
      <c r="W436" s="1907"/>
      <c r="X436" s="1907"/>
      <c r="Y436" s="1907"/>
      <c r="Z436" s="1907"/>
      <c r="AA436" s="1907"/>
      <c r="AB436" s="1907"/>
      <c r="AC436" s="1907"/>
      <c r="AD436" s="1907"/>
      <c r="AE436" s="1907"/>
      <c r="AF436" s="626"/>
      <c r="AG436" s="626"/>
      <c r="AH436" s="626"/>
      <c r="AI436" s="626"/>
      <c r="AJ436" s="626"/>
      <c r="AK436" s="626"/>
      <c r="AL436" s="755"/>
      <c r="AM436" s="605"/>
      <c r="AN436" s="632"/>
      <c r="AO436" s="585" t="s">
        <v>1666</v>
      </c>
      <c r="AP436" s="585">
        <v>5</v>
      </c>
      <c r="AQ436" s="788"/>
    </row>
    <row r="437" spans="1:54" s="585" customFormat="1" ht="12.75" customHeight="1">
      <c r="A437" s="571"/>
      <c r="B437" s="14"/>
      <c r="C437" s="787"/>
      <c r="D437" s="765"/>
      <c r="E437" s="754"/>
      <c r="F437" s="1907"/>
      <c r="G437" s="1907"/>
      <c r="H437" s="1907"/>
      <c r="I437" s="1907"/>
      <c r="J437" s="1907"/>
      <c r="K437" s="1907"/>
      <c r="L437" s="1907"/>
      <c r="M437" s="1907"/>
      <c r="N437" s="1907"/>
      <c r="O437" s="1907"/>
      <c r="P437" s="1907"/>
      <c r="Q437" s="1907"/>
      <c r="R437" s="1907"/>
      <c r="S437" s="1907"/>
      <c r="T437" s="1907"/>
      <c r="U437" s="1907"/>
      <c r="V437" s="1907"/>
      <c r="W437" s="1907"/>
      <c r="X437" s="1907"/>
      <c r="Y437" s="1907"/>
      <c r="Z437" s="1907"/>
      <c r="AA437" s="1907"/>
      <c r="AB437" s="1907"/>
      <c r="AC437" s="1907"/>
      <c r="AD437" s="1907"/>
      <c r="AE437" s="1907"/>
      <c r="AL437" s="767"/>
      <c r="AM437" s="605"/>
      <c r="AN437" s="632"/>
      <c r="AO437" s="585" t="s">
        <v>1667</v>
      </c>
      <c r="AP437" s="585">
        <v>5</v>
      </c>
      <c r="AQ437" s="571"/>
    </row>
    <row r="438" spans="1:54" s="585" customFormat="1" ht="12.75" customHeight="1">
      <c r="A438" s="571"/>
      <c r="B438" s="14"/>
      <c r="C438" s="1916" t="s">
        <v>601</v>
      </c>
      <c r="D438" s="1917"/>
      <c r="E438" s="754"/>
      <c r="F438" s="756" t="s">
        <v>1668</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75" t="s">
        <v>1637</v>
      </c>
      <c r="AG438" s="1975"/>
      <c r="AH438" s="1975"/>
      <c r="AI438" s="1975"/>
      <c r="AJ438" s="1975"/>
      <c r="AK438" s="1975"/>
      <c r="AL438" s="2005"/>
      <c r="AM438" s="605"/>
      <c r="AN438" s="789"/>
      <c r="AO438" s="585" t="s">
        <v>1669</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1670</v>
      </c>
      <c r="AP439" s="585">
        <v>5</v>
      </c>
    </row>
    <row r="440" spans="1:54" s="585" customFormat="1" ht="12.75" customHeight="1">
      <c r="A440" s="571"/>
      <c r="B440" s="14"/>
      <c r="C440" s="775"/>
      <c r="D440" s="768"/>
      <c r="E440" s="769"/>
      <c r="F440" s="762" t="s">
        <v>1644</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1671</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1672</v>
      </c>
      <c r="AP441" s="585">
        <v>5</v>
      </c>
    </row>
    <row r="442" spans="1:54" s="585" customFormat="1" ht="12.75" customHeight="1">
      <c r="A442" s="571"/>
      <c r="B442" s="14"/>
      <c r="C442" s="2030" t="s">
        <v>601</v>
      </c>
      <c r="D442" s="2031"/>
      <c r="E442" s="750" t="s">
        <v>1673</v>
      </c>
      <c r="F442" s="1906" t="s">
        <v>1674</v>
      </c>
      <c r="G442" s="1906"/>
      <c r="H442" s="1906"/>
      <c r="I442" s="1906"/>
      <c r="J442" s="1906"/>
      <c r="K442" s="1906"/>
      <c r="L442" s="1906"/>
      <c r="M442" s="1906"/>
      <c r="N442" s="1906"/>
      <c r="O442" s="1906"/>
      <c r="P442" s="1906"/>
      <c r="Q442" s="1906"/>
      <c r="R442" s="1906"/>
      <c r="S442" s="1906"/>
      <c r="T442" s="1906"/>
      <c r="U442" s="1906"/>
      <c r="V442" s="1906"/>
      <c r="W442" s="1906"/>
      <c r="X442" s="1906"/>
      <c r="Y442" s="1906"/>
      <c r="Z442" s="1906"/>
      <c r="AA442" s="1906"/>
      <c r="AB442" s="1906"/>
      <c r="AC442" s="1906"/>
      <c r="AD442" s="1906"/>
      <c r="AE442" s="1906"/>
      <c r="AF442" s="2001" t="s">
        <v>1637</v>
      </c>
      <c r="AG442" s="2001"/>
      <c r="AH442" s="2001"/>
      <c r="AI442" s="2001"/>
      <c r="AJ442" s="2001"/>
      <c r="AK442" s="2001"/>
      <c r="AL442" s="2002"/>
      <c r="AM442" s="605"/>
      <c r="AN442" s="789"/>
      <c r="AO442" s="585" t="s">
        <v>1675</v>
      </c>
      <c r="AP442" s="585">
        <v>1</v>
      </c>
    </row>
    <row r="443" spans="1:54" s="585" customFormat="1" ht="12.75" customHeight="1">
      <c r="A443" s="571"/>
      <c r="B443" s="14"/>
      <c r="C443" s="787"/>
      <c r="D443" s="765"/>
      <c r="E443" s="754"/>
      <c r="F443" s="1907"/>
      <c r="G443" s="1907"/>
      <c r="H443" s="1907"/>
      <c r="I443" s="1907"/>
      <c r="J443" s="1907"/>
      <c r="K443" s="1907"/>
      <c r="L443" s="1907"/>
      <c r="M443" s="1907"/>
      <c r="N443" s="1907"/>
      <c r="O443" s="1907"/>
      <c r="P443" s="1907"/>
      <c r="Q443" s="1907"/>
      <c r="R443" s="1907"/>
      <c r="S443" s="1907"/>
      <c r="T443" s="1907"/>
      <c r="U443" s="1907"/>
      <c r="V443" s="1907"/>
      <c r="W443" s="1907"/>
      <c r="X443" s="1907"/>
      <c r="Y443" s="1907"/>
      <c r="Z443" s="1907"/>
      <c r="AA443" s="1907"/>
      <c r="AB443" s="1907"/>
      <c r="AC443" s="1907"/>
      <c r="AD443" s="1907"/>
      <c r="AE443" s="1907"/>
      <c r="AF443" s="626"/>
      <c r="AG443" s="626"/>
      <c r="AH443" s="626"/>
      <c r="AI443" s="626"/>
      <c r="AJ443" s="626"/>
      <c r="AK443" s="626"/>
      <c r="AL443" s="755"/>
      <c r="AM443" s="605"/>
      <c r="AN443" s="790"/>
      <c r="AS443" s="791"/>
      <c r="AW443" s="791" t="s">
        <v>1676</v>
      </c>
      <c r="BA443" s="791" t="s">
        <v>1677</v>
      </c>
    </row>
    <row r="444" spans="1:54" s="585" customFormat="1" ht="17.7" customHeight="1">
      <c r="A444" s="571"/>
      <c r="B444" s="14"/>
      <c r="C444" s="792"/>
      <c r="D444" s="758"/>
      <c r="E444" s="759"/>
      <c r="F444" s="1989"/>
      <c r="G444" s="1989"/>
      <c r="H444" s="1989"/>
      <c r="I444" s="1989"/>
      <c r="J444" s="1989"/>
      <c r="K444" s="1989"/>
      <c r="L444" s="1989"/>
      <c r="M444" s="1989"/>
      <c r="N444" s="1989"/>
      <c r="O444" s="1989"/>
      <c r="P444" s="1989"/>
      <c r="Q444" s="1989"/>
      <c r="R444" s="1989"/>
      <c r="S444" s="1989"/>
      <c r="T444" s="1989"/>
      <c r="U444" s="1989"/>
      <c r="V444" s="1989"/>
      <c r="W444" s="1989"/>
      <c r="X444" s="1989"/>
      <c r="Y444" s="1989"/>
      <c r="Z444" s="1989"/>
      <c r="AA444" s="1989"/>
      <c r="AB444" s="1989"/>
      <c r="AC444" s="1989"/>
      <c r="AD444" s="1989"/>
      <c r="AE444" s="1989"/>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1678</v>
      </c>
      <c r="AS445" s="672">
        <v>3</v>
      </c>
      <c r="AT445" s="628"/>
      <c r="AW445" s="794">
        <v>0.4</v>
      </c>
      <c r="AX445" s="628">
        <v>3</v>
      </c>
      <c r="BA445" s="794">
        <v>0.4</v>
      </c>
      <c r="BB445" s="628">
        <v>4</v>
      </c>
    </row>
    <row r="446" spans="1:54" s="585" customFormat="1" ht="12.75" customHeight="1">
      <c r="A446" s="571"/>
      <c r="B446" s="14"/>
      <c r="C446" s="1916" t="s">
        <v>601</v>
      </c>
      <c r="D446" s="1917"/>
      <c r="E446" s="750" t="s">
        <v>1679</v>
      </c>
      <c r="F446" s="1906" t="s">
        <v>1680</v>
      </c>
      <c r="G446" s="1906"/>
      <c r="H446" s="1906"/>
      <c r="I446" s="1906"/>
      <c r="J446" s="1906"/>
      <c r="K446" s="1906"/>
      <c r="L446" s="1906"/>
      <c r="M446" s="1906"/>
      <c r="N446" s="1906"/>
      <c r="O446" s="1906"/>
      <c r="P446" s="1906"/>
      <c r="Q446" s="1906"/>
      <c r="R446" s="1906"/>
      <c r="S446" s="1906"/>
      <c r="T446" s="1906"/>
      <c r="U446" s="1906"/>
      <c r="V446" s="1906"/>
      <c r="W446" s="1906"/>
      <c r="X446" s="1906"/>
      <c r="Y446" s="1906"/>
      <c r="Z446" s="1906"/>
      <c r="AA446" s="1906"/>
      <c r="AB446" s="1906"/>
      <c r="AC446" s="1906"/>
      <c r="AD446" s="1906"/>
      <c r="AE446" s="1906"/>
      <c r="AF446" s="2001" t="s">
        <v>1637</v>
      </c>
      <c r="AG446" s="2001"/>
      <c r="AH446" s="2001"/>
      <c r="AI446" s="2001"/>
      <c r="AJ446" s="2001"/>
      <c r="AK446" s="2001"/>
      <c r="AL446" s="2002"/>
      <c r="AM446" s="605"/>
      <c r="AN446" s="570"/>
      <c r="AO446" s="794">
        <v>0.12</v>
      </c>
      <c r="AP446" s="672">
        <v>5</v>
      </c>
      <c r="AR446" s="585" t="s">
        <v>1681</v>
      </c>
      <c r="AS446" s="672">
        <v>5</v>
      </c>
      <c r="AT446" s="628"/>
      <c r="AW446" s="794">
        <v>0.6</v>
      </c>
      <c r="AX446" s="628">
        <v>4</v>
      </c>
      <c r="BA446" s="794">
        <v>0.6</v>
      </c>
      <c r="BB446" s="628">
        <v>5</v>
      </c>
    </row>
    <row r="447" spans="1:54" s="585" customFormat="1" ht="12.75" customHeight="1">
      <c r="A447" s="571"/>
      <c r="B447" s="14"/>
      <c r="C447" s="766"/>
      <c r="D447" s="14"/>
      <c r="E447" s="726"/>
      <c r="F447" s="1907"/>
      <c r="G447" s="1907"/>
      <c r="H447" s="1907"/>
      <c r="I447" s="1907"/>
      <c r="J447" s="1907"/>
      <c r="K447" s="1907"/>
      <c r="L447" s="1907"/>
      <c r="M447" s="1907"/>
      <c r="N447" s="1907"/>
      <c r="O447" s="1907"/>
      <c r="P447" s="1907"/>
      <c r="Q447" s="1907"/>
      <c r="R447" s="1907"/>
      <c r="S447" s="1907"/>
      <c r="T447" s="1907"/>
      <c r="U447" s="1907"/>
      <c r="V447" s="1907"/>
      <c r="W447" s="1907"/>
      <c r="X447" s="1907"/>
      <c r="Y447" s="1907"/>
      <c r="Z447" s="1907"/>
      <c r="AA447" s="1907"/>
      <c r="AB447" s="1907"/>
      <c r="AC447" s="1907"/>
      <c r="AD447" s="1907"/>
      <c r="AE447" s="1907"/>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07"/>
      <c r="G448" s="1907"/>
      <c r="H448" s="1907"/>
      <c r="I448" s="1907"/>
      <c r="J448" s="1907"/>
      <c r="K448" s="1907"/>
      <c r="L448" s="1907"/>
      <c r="M448" s="1907"/>
      <c r="N448" s="1907"/>
      <c r="O448" s="1907"/>
      <c r="P448" s="1907"/>
      <c r="Q448" s="1907"/>
      <c r="R448" s="1907"/>
      <c r="S448" s="1907"/>
      <c r="T448" s="1907"/>
      <c r="U448" s="1907"/>
      <c r="V448" s="1907"/>
      <c r="W448" s="1907"/>
      <c r="X448" s="1907"/>
      <c r="Y448" s="1907"/>
      <c r="Z448" s="1907"/>
      <c r="AA448" s="1907"/>
      <c r="AB448" s="1907"/>
      <c r="AC448" s="1907"/>
      <c r="AD448" s="1907"/>
      <c r="AE448" s="1907"/>
      <c r="AF448" s="574"/>
      <c r="AG448" s="571"/>
      <c r="AL448" s="767"/>
      <c r="AM448" s="605"/>
      <c r="AN448" s="570"/>
      <c r="AO448" s="585" t="s">
        <v>601</v>
      </c>
      <c r="AP448" s="672">
        <v>0</v>
      </c>
      <c r="AW448" s="794"/>
      <c r="AX448" s="628"/>
    </row>
    <row r="449" spans="1:49" s="585" customFormat="1" ht="12.75" customHeight="1">
      <c r="A449" s="571"/>
      <c r="B449" s="14"/>
      <c r="C449" s="792"/>
      <c r="D449" s="758"/>
      <c r="E449" s="759"/>
      <c r="F449" s="1989"/>
      <c r="G449" s="1989"/>
      <c r="H449" s="1989"/>
      <c r="I449" s="1989"/>
      <c r="J449" s="1989"/>
      <c r="K449" s="1989"/>
      <c r="L449" s="1989"/>
      <c r="M449" s="1989"/>
      <c r="N449" s="1989"/>
      <c r="O449" s="1989"/>
      <c r="P449" s="1989"/>
      <c r="Q449" s="1989"/>
      <c r="R449" s="1989"/>
      <c r="S449" s="1989"/>
      <c r="T449" s="1989"/>
      <c r="U449" s="1989"/>
      <c r="V449" s="1989"/>
      <c r="W449" s="1989"/>
      <c r="X449" s="1989"/>
      <c r="Y449" s="1989"/>
      <c r="Z449" s="1989"/>
      <c r="AA449" s="1989"/>
      <c r="AB449" s="1989"/>
      <c r="AC449" s="1989"/>
      <c r="AD449" s="1989"/>
      <c r="AE449" s="1989"/>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1682</v>
      </c>
      <c r="F451" s="1906" t="s">
        <v>1683</v>
      </c>
      <c r="G451" s="1906"/>
      <c r="H451" s="1906"/>
      <c r="I451" s="1906"/>
      <c r="J451" s="1906"/>
      <c r="K451" s="1906"/>
      <c r="L451" s="1906"/>
      <c r="M451" s="1906"/>
      <c r="N451" s="1906"/>
      <c r="O451" s="1906"/>
      <c r="P451" s="1906"/>
      <c r="Q451" s="1906"/>
      <c r="R451" s="1906"/>
      <c r="S451" s="1906"/>
      <c r="T451" s="1906"/>
      <c r="U451" s="1906"/>
      <c r="V451" s="1906"/>
      <c r="W451" s="1906"/>
      <c r="X451" s="1906"/>
      <c r="Y451" s="1906"/>
      <c r="Z451" s="1906"/>
      <c r="AA451" s="1906"/>
      <c r="AB451" s="1906"/>
      <c r="AC451" s="1906"/>
      <c r="AD451" s="1906"/>
      <c r="AE451" s="1906"/>
      <c r="AF451" s="1906"/>
      <c r="AG451" s="779"/>
      <c r="AH451" s="749"/>
      <c r="AI451" s="749"/>
      <c r="AJ451" s="749"/>
      <c r="AK451" s="749"/>
      <c r="AL451" s="780"/>
      <c r="AM451" s="605"/>
      <c r="AN451" s="632"/>
    </row>
    <row r="452" spans="1:49" s="585" customFormat="1" ht="12.75" customHeight="1">
      <c r="A452" s="571"/>
      <c r="B452" s="14"/>
      <c r="C452" s="766"/>
      <c r="D452" s="14"/>
      <c r="E452" s="726"/>
      <c r="F452" s="1907"/>
      <c r="G452" s="1907"/>
      <c r="H452" s="1907"/>
      <c r="I452" s="1907"/>
      <c r="J452" s="1907"/>
      <c r="K452" s="1907"/>
      <c r="L452" s="1907"/>
      <c r="M452" s="1907"/>
      <c r="N452" s="1907"/>
      <c r="O452" s="1907"/>
      <c r="P452" s="1907"/>
      <c r="Q452" s="1907"/>
      <c r="R452" s="1907"/>
      <c r="S452" s="1907"/>
      <c r="T452" s="1907"/>
      <c r="U452" s="1907"/>
      <c r="V452" s="1907"/>
      <c r="W452" s="1907"/>
      <c r="X452" s="1907"/>
      <c r="Y452" s="1907"/>
      <c r="Z452" s="1907"/>
      <c r="AA452" s="1907"/>
      <c r="AB452" s="1907"/>
      <c r="AC452" s="1907"/>
      <c r="AD452" s="1907"/>
      <c r="AE452" s="1907"/>
      <c r="AF452" s="1907"/>
      <c r="AL452" s="767"/>
      <c r="AM452" s="605"/>
      <c r="AN452" s="632"/>
    </row>
    <row r="453" spans="1:49" s="585" customFormat="1" ht="12.75" customHeight="1">
      <c r="A453" s="571"/>
      <c r="B453" s="14"/>
      <c r="C453" s="774"/>
      <c r="F453" s="1907"/>
      <c r="G453" s="1907"/>
      <c r="H453" s="1907"/>
      <c r="I453" s="1907"/>
      <c r="J453" s="1907"/>
      <c r="K453" s="1907"/>
      <c r="L453" s="1907"/>
      <c r="M453" s="1907"/>
      <c r="N453" s="1907"/>
      <c r="O453" s="1907"/>
      <c r="P453" s="1907"/>
      <c r="Q453" s="1907"/>
      <c r="R453" s="1907"/>
      <c r="S453" s="1907"/>
      <c r="T453" s="1907"/>
      <c r="U453" s="1907"/>
      <c r="V453" s="1907"/>
      <c r="W453" s="1907"/>
      <c r="X453" s="1907"/>
      <c r="Y453" s="1907"/>
      <c r="Z453" s="1907"/>
      <c r="AA453" s="1907"/>
      <c r="AB453" s="1907"/>
      <c r="AC453" s="1907"/>
      <c r="AD453" s="1907"/>
      <c r="AE453" s="1907"/>
      <c r="AF453" s="1907"/>
      <c r="AL453" s="767"/>
      <c r="AM453" s="605"/>
      <c r="AN453" s="632"/>
    </row>
    <row r="454" spans="1:49" s="585" customFormat="1" ht="12.75" customHeight="1">
      <c r="A454" s="571"/>
      <c r="B454" s="14"/>
      <c r="C454" s="774"/>
      <c r="F454" s="1907"/>
      <c r="G454" s="1907"/>
      <c r="H454" s="1907"/>
      <c r="I454" s="1907"/>
      <c r="J454" s="1907"/>
      <c r="K454" s="1907"/>
      <c r="L454" s="1907"/>
      <c r="M454" s="1907"/>
      <c r="N454" s="1907"/>
      <c r="O454" s="1907"/>
      <c r="P454" s="1907"/>
      <c r="Q454" s="1907"/>
      <c r="R454" s="1907"/>
      <c r="S454" s="1907"/>
      <c r="T454" s="1907"/>
      <c r="U454" s="1907"/>
      <c r="V454" s="1907"/>
      <c r="W454" s="1907"/>
      <c r="X454" s="1907"/>
      <c r="Y454" s="1907"/>
      <c r="Z454" s="1907"/>
      <c r="AA454" s="1907"/>
      <c r="AB454" s="1907"/>
      <c r="AC454" s="1907"/>
      <c r="AD454" s="1907"/>
      <c r="AE454" s="1907"/>
      <c r="AF454" s="1907"/>
      <c r="AL454" s="767"/>
      <c r="AM454" s="605"/>
      <c r="AN454" s="632"/>
    </row>
    <row r="455" spans="1:49" s="585" customFormat="1" ht="12.75" customHeight="1">
      <c r="A455" s="571"/>
      <c r="B455" s="14"/>
      <c r="C455" s="1916" t="s">
        <v>601</v>
      </c>
      <c r="D455" s="1917"/>
      <c r="E455" s="754"/>
      <c r="F455" s="756" t="s">
        <v>1654</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05" t="s">
        <v>1637</v>
      </c>
      <c r="AG455" s="1905"/>
      <c r="AH455" s="1905"/>
      <c r="AI455" s="1905"/>
      <c r="AJ455" s="1905"/>
      <c r="AK455" s="1905"/>
      <c r="AL455" s="1918"/>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1684</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1685</v>
      </c>
      <c r="AK458" s="1902">
        <f>IF(Application!D213="N/A",AS347,AS349)</f>
        <v>10</v>
      </c>
      <c r="AL458" s="1903"/>
      <c r="AM458" s="1904"/>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1686</v>
      </c>
      <c r="C461" s="574"/>
      <c r="E461" s="631"/>
      <c r="AE461" s="1905" t="s">
        <v>1687</v>
      </c>
      <c r="AF461" s="1905"/>
      <c r="AG461" s="1905"/>
      <c r="AH461" s="1905"/>
      <c r="AI461" s="1905"/>
      <c r="AJ461" s="1905"/>
      <c r="AK461" s="1905"/>
      <c r="AL461" s="626"/>
      <c r="AN461" s="632"/>
      <c r="AO461" s="585" t="s">
        <v>1665</v>
      </c>
      <c r="AP461" s="585">
        <v>5</v>
      </c>
    </row>
    <row r="462" spans="1:49" s="585" customFormat="1" ht="12.75" hidden="1" customHeight="1">
      <c r="A462" s="574"/>
      <c r="B462" s="571" t="s">
        <v>1688</v>
      </c>
      <c r="C462" s="574"/>
      <c r="E462" s="631"/>
      <c r="AE462" s="626"/>
      <c r="AF462" s="626"/>
      <c r="AG462" s="626"/>
      <c r="AH462" s="626"/>
      <c r="AI462" s="626"/>
      <c r="AJ462" s="626"/>
      <c r="AK462" s="626"/>
      <c r="AL462" s="626"/>
      <c r="AN462" s="632"/>
      <c r="AO462" s="585" t="s">
        <v>1689</v>
      </c>
      <c r="AP462" s="585">
        <v>5</v>
      </c>
    </row>
    <row r="463" spans="1:49" s="585" customFormat="1" ht="12.75" hidden="1" customHeight="1">
      <c r="A463" s="574"/>
      <c r="B463" s="574" t="s">
        <v>1690</v>
      </c>
      <c r="C463" s="574"/>
      <c r="E463" s="631"/>
      <c r="AE463" s="626"/>
      <c r="AF463" s="626"/>
      <c r="AG463" s="626"/>
      <c r="AH463" s="626"/>
      <c r="AI463" s="626"/>
      <c r="AJ463" s="626"/>
      <c r="AK463" s="626"/>
      <c r="AL463" s="626"/>
      <c r="AN463" s="632"/>
      <c r="AO463" s="585" t="s">
        <v>1667</v>
      </c>
      <c r="AP463" s="585">
        <v>5</v>
      </c>
      <c r="AQ463" s="574"/>
      <c r="AR463" s="574"/>
      <c r="AS463" s="791"/>
      <c r="AW463" s="791"/>
    </row>
    <row r="464" spans="1:49" s="585" customFormat="1" ht="12.75" hidden="1" customHeight="1">
      <c r="A464" s="574"/>
      <c r="B464" s="574" t="s">
        <v>1691</v>
      </c>
      <c r="C464" s="574"/>
      <c r="E464" s="631"/>
      <c r="AE464" s="626"/>
      <c r="AF464" s="626"/>
      <c r="AG464" s="626"/>
      <c r="AH464" s="626"/>
      <c r="AI464" s="626"/>
      <c r="AJ464" s="626"/>
      <c r="AK464" s="626"/>
      <c r="AL464" s="626"/>
      <c r="AN464" s="632"/>
      <c r="AO464" s="585" t="s">
        <v>1669</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1670</v>
      </c>
      <c r="AP465" s="585">
        <v>5</v>
      </c>
      <c r="AQ465" s="574"/>
      <c r="AR465" s="574"/>
      <c r="AW465" s="714"/>
    </row>
    <row r="466" spans="1:50" s="585" customFormat="1" ht="12.75" hidden="1" customHeight="1">
      <c r="A466" s="574"/>
      <c r="C466" s="747" t="s">
        <v>1692</v>
      </c>
      <c r="D466" s="605"/>
      <c r="AE466" s="626"/>
      <c r="AF466" s="626"/>
      <c r="AG466" s="631"/>
      <c r="AH466" s="631"/>
      <c r="AI466" s="631"/>
      <c r="AJ466" s="631"/>
      <c r="AK466" s="631"/>
      <c r="AL466" s="631"/>
      <c r="AN466" s="632"/>
      <c r="AO466" s="585" t="s">
        <v>1671</v>
      </c>
      <c r="AP466" s="585">
        <v>5</v>
      </c>
      <c r="AW466" s="714"/>
    </row>
    <row r="467" spans="1:50" s="585" customFormat="1" ht="12.75" hidden="1" customHeight="1">
      <c r="A467" s="574"/>
      <c r="C467" s="1982" t="s">
        <v>601</v>
      </c>
      <c r="D467" s="1983"/>
      <c r="E467" s="797" t="s">
        <v>517</v>
      </c>
      <c r="F467" s="2003" t="s">
        <v>1693</v>
      </c>
      <c r="G467" s="2003"/>
      <c r="H467" s="2003"/>
      <c r="I467" s="2003"/>
      <c r="J467" s="2003"/>
      <c r="K467" s="2003"/>
      <c r="L467" s="2003"/>
      <c r="M467" s="2003"/>
      <c r="N467" s="2003"/>
      <c r="O467" s="2003"/>
      <c r="P467" s="2003"/>
      <c r="Q467" s="2003"/>
      <c r="R467" s="2003"/>
      <c r="S467" s="2003"/>
      <c r="T467" s="2003"/>
      <c r="U467" s="2003"/>
      <c r="V467" s="2003"/>
      <c r="W467" s="2003"/>
      <c r="X467" s="2003"/>
      <c r="Y467" s="2003"/>
      <c r="Z467" s="2003"/>
      <c r="AA467" s="2003"/>
      <c r="AB467" s="2003"/>
      <c r="AC467" s="2003"/>
      <c r="AD467" s="2003"/>
      <c r="AE467" s="2003"/>
      <c r="AF467" s="749"/>
      <c r="AG467" s="749"/>
      <c r="AH467" s="749"/>
      <c r="AI467" s="749"/>
      <c r="AJ467" s="749"/>
      <c r="AK467" s="780"/>
      <c r="AN467" s="632"/>
      <c r="AO467" s="585" t="s">
        <v>1694</v>
      </c>
      <c r="AP467" s="585">
        <v>5</v>
      </c>
      <c r="AS467" s="794"/>
      <c r="AT467" s="628"/>
      <c r="AW467" s="714"/>
      <c r="AX467" s="672"/>
    </row>
    <row r="468" spans="1:50" s="585" customFormat="1" ht="12.75" hidden="1" customHeight="1">
      <c r="C468" s="798"/>
      <c r="E468" s="799"/>
      <c r="F468" s="2004"/>
      <c r="G468" s="2004"/>
      <c r="H468" s="2004"/>
      <c r="I468" s="2004"/>
      <c r="J468" s="2004"/>
      <c r="K468" s="2004"/>
      <c r="L468" s="2004"/>
      <c r="M468" s="2004"/>
      <c r="N468" s="2004"/>
      <c r="O468" s="2004"/>
      <c r="P468" s="2004"/>
      <c r="Q468" s="2004"/>
      <c r="R468" s="2004"/>
      <c r="S468" s="2004"/>
      <c r="T468" s="2004"/>
      <c r="U468" s="2004"/>
      <c r="V468" s="2004"/>
      <c r="W468" s="2004"/>
      <c r="X468" s="2004"/>
      <c r="Y468" s="2004"/>
      <c r="Z468" s="2004"/>
      <c r="AA468" s="2004"/>
      <c r="AB468" s="2004"/>
      <c r="AC468" s="2004"/>
      <c r="AD468" s="2004"/>
      <c r="AE468" s="2004"/>
      <c r="AG468" s="586"/>
      <c r="AH468" s="586"/>
      <c r="AI468" s="586"/>
      <c r="AJ468" s="586"/>
      <c r="AK468" s="767"/>
      <c r="AN468" s="632"/>
      <c r="AO468" s="585" t="s">
        <v>1675</v>
      </c>
      <c r="AP468" s="585">
        <v>1</v>
      </c>
    </row>
    <row r="469" spans="1:50" s="585" customFormat="1" ht="12.75" hidden="1" customHeight="1">
      <c r="C469" s="800"/>
      <c r="D469" s="762"/>
      <c r="E469" s="801"/>
      <c r="F469" s="1998" t="s">
        <v>601</v>
      </c>
      <c r="G469" s="1998"/>
      <c r="H469" s="1998"/>
      <c r="I469" s="1998"/>
      <c r="J469" s="1998"/>
      <c r="K469" s="1998"/>
      <c r="L469" s="1998"/>
      <c r="M469" s="1998"/>
      <c r="N469" s="1998"/>
      <c r="O469" s="1998"/>
      <c r="P469" s="1998"/>
      <c r="Q469" s="1998"/>
      <c r="R469" s="1998"/>
      <c r="S469" s="1998"/>
      <c r="T469" s="1998"/>
      <c r="U469" s="1998"/>
      <c r="V469" s="1998"/>
      <c r="W469" s="1998"/>
      <c r="X469" s="1998"/>
      <c r="Y469" s="1998"/>
      <c r="Z469" s="1998"/>
      <c r="AA469" s="802"/>
      <c r="AB469" s="693"/>
      <c r="AC469" s="693"/>
      <c r="AD469" s="762"/>
      <c r="AE469" s="762"/>
      <c r="AF469" s="762"/>
      <c r="AG469" s="803">
        <f>IF($C$467="Yes",(VLOOKUP($F$469,$AO$434:$AP$442,2,FALSE)),0)</f>
        <v>0</v>
      </c>
      <c r="AH469" s="804" t="s">
        <v>1499</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1999" t="s">
        <v>555</v>
      </c>
      <c r="D471" s="2000"/>
      <c r="E471" s="797" t="s">
        <v>770</v>
      </c>
      <c r="F471" s="805" t="s">
        <v>1695</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1696</v>
      </c>
      <c r="F472" s="807" t="s">
        <v>1697</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1698</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1699</v>
      </c>
      <c r="G474" s="585"/>
      <c r="H474" s="585"/>
      <c r="I474" s="807"/>
      <c r="J474" s="807"/>
      <c r="K474" s="807"/>
      <c r="L474" s="807"/>
      <c r="M474" s="807"/>
      <c r="N474" s="807"/>
      <c r="O474" s="807"/>
      <c r="P474" s="807"/>
      <c r="Q474" s="807"/>
      <c r="R474" s="807"/>
      <c r="S474" s="807"/>
      <c r="T474" s="807"/>
      <c r="U474" s="807"/>
      <c r="V474" s="1911" t="s">
        <v>601</v>
      </c>
      <c r="W474" s="1911"/>
      <c r="X474" s="1911"/>
      <c r="Y474" s="807"/>
      <c r="Z474" s="807"/>
      <c r="AA474" s="807"/>
      <c r="AB474" s="807"/>
      <c r="AC474" s="807"/>
      <c r="AD474" s="644"/>
      <c r="AE474" s="644"/>
      <c r="AF474" s="644"/>
      <c r="AG474" s="648">
        <f>IF(AND($C$471="Yes",$V$476="N/A",$V$481="N/A",$V$485="N/A",$V$487="N/A"),(VLOOKUP(V474,$AR$444:$AS$446,2,FALSE)),0)</f>
        <v>0</v>
      </c>
      <c r="AH474" s="675" t="s">
        <v>1499</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1700</v>
      </c>
      <c r="G476" s="585"/>
      <c r="H476" s="585"/>
      <c r="I476" s="807"/>
      <c r="J476" s="807"/>
      <c r="K476" s="807"/>
      <c r="L476" s="807"/>
      <c r="M476" s="807"/>
      <c r="N476" s="807"/>
      <c r="O476" s="807"/>
      <c r="P476" s="807"/>
      <c r="Q476" s="807"/>
      <c r="R476" s="807"/>
      <c r="S476" s="807"/>
      <c r="T476" s="807"/>
      <c r="U476" s="807"/>
      <c r="V476" s="1911" t="s">
        <v>601</v>
      </c>
      <c r="W476" s="1911"/>
      <c r="X476" s="1911"/>
      <c r="Y476" s="807"/>
      <c r="Z476" s="807"/>
      <c r="AA476" s="807"/>
      <c r="AB476" s="807"/>
      <c r="AC476" s="807"/>
      <c r="AD476" s="644"/>
      <c r="AE476" s="644"/>
      <c r="AF476" s="644"/>
      <c r="AG476" s="648">
        <f>IF(AND($C$471="Yes",$V$474="N/A", $V$481="N/A",$V$485="N/A",$V$487="N/A"),(VLOOKUP(V476,$AO$444:$AP$446,2,FALSE)),0)</f>
        <v>0</v>
      </c>
      <c r="AH476" s="675" t="s">
        <v>1499</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1701</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1702</v>
      </c>
      <c r="AP478" s="672">
        <v>2</v>
      </c>
    </row>
    <row r="479" spans="1:50" s="585" customFormat="1" ht="12.75" hidden="1" customHeight="1">
      <c r="C479" s="798"/>
      <c r="F479" s="644" t="s">
        <v>1703</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1704</v>
      </c>
      <c r="AP479" s="585">
        <v>2</v>
      </c>
    </row>
    <row r="480" spans="1:50" s="631" customFormat="1" ht="12.75" hidden="1" customHeight="1">
      <c r="A480" s="585"/>
      <c r="B480" s="585"/>
      <c r="C480" s="774"/>
      <c r="D480" s="605"/>
      <c r="E480" s="605"/>
      <c r="F480" s="644" t="s">
        <v>1705</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1706</v>
      </c>
      <c r="AP480" s="585">
        <v>2</v>
      </c>
    </row>
    <row r="481" spans="1:81" s="585" customFormat="1" ht="12.75" hidden="1" customHeight="1">
      <c r="C481" s="813"/>
      <c r="F481" s="811" t="s">
        <v>1707</v>
      </c>
      <c r="M481" s="799"/>
      <c r="N481" s="799"/>
      <c r="O481" s="799"/>
      <c r="P481" s="799"/>
      <c r="Q481" s="586"/>
      <c r="R481" s="586"/>
      <c r="S481" s="586"/>
      <c r="T481" s="586"/>
      <c r="U481" s="586"/>
      <c r="V481" s="1911" t="s">
        <v>601</v>
      </c>
      <c r="W481" s="1911"/>
      <c r="X481" s="1911"/>
      <c r="Y481" s="586"/>
      <c r="Z481" s="586"/>
      <c r="AA481" s="586"/>
      <c r="AB481" s="586"/>
      <c r="AC481" s="586"/>
      <c r="AG481" s="648">
        <f>IF(AND($C$471="Yes",$V$474="N/A",$V$476="N/A", $V$485="N/A",$V$487="N/A"),(VLOOKUP($V$481,$AO$448:$AP$450,2,FALSE)),0)</f>
        <v>0</v>
      </c>
      <c r="AH481" s="675" t="s">
        <v>1499</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1708</v>
      </c>
      <c r="D483" s="749"/>
      <c r="E483" s="749"/>
      <c r="F483" s="816" t="s">
        <v>1709</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1985"/>
      <c r="E484" s="1985"/>
      <c r="F484" s="807" t="s">
        <v>1710</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1711</v>
      </c>
      <c r="AP484" s="672">
        <v>5</v>
      </c>
      <c r="AQ484" s="574"/>
    </row>
    <row r="485" spans="1:81" s="605" customFormat="1" ht="12.75" hidden="1" customHeight="1">
      <c r="A485" s="714"/>
      <c r="B485" s="585"/>
      <c r="C485" s="798"/>
      <c r="D485" s="585"/>
      <c r="E485" s="585"/>
      <c r="F485" s="818" t="s">
        <v>1699</v>
      </c>
      <c r="G485" s="585"/>
      <c r="H485" s="585"/>
      <c r="I485" s="585"/>
      <c r="J485" s="585"/>
      <c r="K485" s="585"/>
      <c r="L485" s="585"/>
      <c r="M485" s="585"/>
      <c r="N485" s="585"/>
      <c r="O485" s="585"/>
      <c r="P485" s="585"/>
      <c r="Q485" s="585"/>
      <c r="R485" s="585"/>
      <c r="S485" s="585"/>
      <c r="T485" s="585"/>
      <c r="U485" s="585"/>
      <c r="V485" s="1911" t="s">
        <v>601</v>
      </c>
      <c r="W485" s="1911"/>
      <c r="X485" s="1911"/>
      <c r="Y485" s="585"/>
      <c r="Z485" s="585"/>
      <c r="AA485" s="585"/>
      <c r="AB485" s="585"/>
      <c r="AC485" s="585"/>
      <c r="AD485" s="585"/>
      <c r="AE485" s="585"/>
      <c r="AF485" s="585"/>
      <c r="AG485" s="648">
        <f>IF(AND($C$471="Yes",$V$474="N/A",V476="N/A",$V$481="N/A",$V$487="N/A"),(VLOOKUP($V$485,$AW$444:$AX$447,2,FALSE)),0)</f>
        <v>0</v>
      </c>
      <c r="AH485" s="675" t="s">
        <v>1499</v>
      </c>
      <c r="AI485" s="586"/>
      <c r="AJ485" s="585"/>
      <c r="AK485" s="767"/>
      <c r="AL485" s="585"/>
      <c r="AM485" s="585"/>
      <c r="AN485" s="719"/>
      <c r="AO485" s="585" t="s">
        <v>1712</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1713</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1700</v>
      </c>
      <c r="G487" s="802"/>
      <c r="H487" s="802"/>
      <c r="I487" s="762"/>
      <c r="J487" s="762"/>
      <c r="K487" s="762"/>
      <c r="L487" s="762"/>
      <c r="M487" s="762"/>
      <c r="N487" s="762"/>
      <c r="O487" s="762"/>
      <c r="P487" s="762"/>
      <c r="Q487" s="762"/>
      <c r="R487" s="762"/>
      <c r="S487" s="762"/>
      <c r="T487" s="762"/>
      <c r="U487" s="762"/>
      <c r="V487" s="1911" t="s">
        <v>601</v>
      </c>
      <c r="W487" s="1911"/>
      <c r="X487" s="1911"/>
      <c r="Y487" s="762"/>
      <c r="Z487" s="762"/>
      <c r="AA487" s="762"/>
      <c r="AB487" s="762"/>
      <c r="AC487" s="762"/>
      <c r="AD487" s="762"/>
      <c r="AE487" s="762"/>
      <c r="AF487" s="762"/>
      <c r="AG487" s="819">
        <f>IF(AND($C$471="Yes",$V$474="N/A",$V$476="N/A",$V$481="N/A",$V$485="N/A"),(VLOOKUP($V$487,$BA$444:$BB$446,2,FALSE)),0)</f>
        <v>0</v>
      </c>
      <c r="AH487" s="804" t="s">
        <v>1499</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1714</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82" t="s">
        <v>601</v>
      </c>
      <c r="D490" s="1983"/>
      <c r="E490" s="797" t="s">
        <v>517</v>
      </c>
      <c r="F490" s="2003" t="s">
        <v>1693</v>
      </c>
      <c r="G490" s="2003"/>
      <c r="H490" s="2003"/>
      <c r="I490" s="2003"/>
      <c r="J490" s="2003"/>
      <c r="K490" s="2003"/>
      <c r="L490" s="2003"/>
      <c r="M490" s="2003"/>
      <c r="N490" s="2003"/>
      <c r="O490" s="2003"/>
      <c r="P490" s="2003"/>
      <c r="Q490" s="2003"/>
      <c r="R490" s="2003"/>
      <c r="S490" s="2003"/>
      <c r="T490" s="2003"/>
      <c r="U490" s="2003"/>
      <c r="V490" s="2003"/>
      <c r="W490" s="2003"/>
      <c r="X490" s="2003"/>
      <c r="Y490" s="2003"/>
      <c r="Z490" s="2003"/>
      <c r="AA490" s="2003"/>
      <c r="AB490" s="2003"/>
      <c r="AC490" s="2003"/>
      <c r="AD490" s="2003"/>
      <c r="AE490" s="2003"/>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04"/>
      <c r="G491" s="2004"/>
      <c r="H491" s="2004"/>
      <c r="I491" s="2004"/>
      <c r="J491" s="2004"/>
      <c r="K491" s="2004"/>
      <c r="L491" s="2004"/>
      <c r="M491" s="2004"/>
      <c r="N491" s="2004"/>
      <c r="O491" s="2004"/>
      <c r="P491" s="2004"/>
      <c r="Q491" s="2004"/>
      <c r="R491" s="2004"/>
      <c r="S491" s="2004"/>
      <c r="T491" s="2004"/>
      <c r="U491" s="2004"/>
      <c r="V491" s="2004"/>
      <c r="W491" s="2004"/>
      <c r="X491" s="2004"/>
      <c r="Y491" s="2004"/>
      <c r="Z491" s="2004"/>
      <c r="AA491" s="2004"/>
      <c r="AB491" s="2004"/>
      <c r="AC491" s="2004"/>
      <c r="AD491" s="2004"/>
      <c r="AE491" s="2004"/>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90" t="s">
        <v>601</v>
      </c>
      <c r="G492" s="1990"/>
      <c r="H492" s="1990"/>
      <c r="I492" s="1990"/>
      <c r="J492" s="1990"/>
      <c r="K492" s="1990"/>
      <c r="L492" s="1990"/>
      <c r="M492" s="1990"/>
      <c r="N492" s="1990"/>
      <c r="O492" s="1990"/>
      <c r="P492" s="1990"/>
      <c r="Q492" s="1990"/>
      <c r="R492" s="1990"/>
      <c r="S492" s="1990"/>
      <c r="T492" s="1990"/>
      <c r="U492" s="1990"/>
      <c r="V492" s="1990"/>
      <c r="W492" s="1990"/>
      <c r="X492" s="1990"/>
      <c r="Y492" s="1990"/>
      <c r="Z492" s="1990"/>
      <c r="AA492" s="802"/>
      <c r="AB492" s="693"/>
      <c r="AC492" s="693"/>
      <c r="AD492" s="762"/>
      <c r="AE492" s="762"/>
      <c r="AF492" s="762"/>
      <c r="AG492" s="803">
        <f>IF($C$490="Yes",(VLOOKUP($F$492,$AO$460:$AP$468,2,FALSE)),0)</f>
        <v>0</v>
      </c>
      <c r="AH492" s="804" t="s">
        <v>1499</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82" t="s">
        <v>601</v>
      </c>
      <c r="D494" s="1983"/>
      <c r="E494" s="797" t="s">
        <v>770</v>
      </c>
      <c r="F494" s="1991" t="s">
        <v>1715</v>
      </c>
      <c r="G494" s="1991"/>
      <c r="H494" s="1991"/>
      <c r="I494" s="1991"/>
      <c r="J494" s="1991"/>
      <c r="K494" s="1991"/>
      <c r="L494" s="1991"/>
      <c r="M494" s="1991"/>
      <c r="N494" s="1991"/>
      <c r="O494" s="1991"/>
      <c r="P494" s="1991"/>
      <c r="Q494" s="1991"/>
      <c r="R494" s="1991"/>
      <c r="S494" s="1991"/>
      <c r="T494" s="1991"/>
      <c r="U494" s="1991"/>
      <c r="V494" s="1991"/>
      <c r="W494" s="1991"/>
      <c r="X494" s="1991"/>
      <c r="Y494" s="1991"/>
      <c r="Z494" s="1991"/>
      <c r="AA494" s="1991"/>
      <c r="AB494" s="1991"/>
      <c r="AC494" s="1991"/>
      <c r="AD494" s="1991"/>
      <c r="AE494" s="1991"/>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92"/>
      <c r="G495" s="1992"/>
      <c r="H495" s="1992"/>
      <c r="I495" s="1992"/>
      <c r="J495" s="1992"/>
      <c r="K495" s="1992"/>
      <c r="L495" s="1992"/>
      <c r="M495" s="1992"/>
      <c r="N495" s="1992"/>
      <c r="O495" s="1992"/>
      <c r="P495" s="1992"/>
      <c r="Q495" s="1992"/>
      <c r="R495" s="1992"/>
      <c r="S495" s="1992"/>
      <c r="T495" s="1992"/>
      <c r="U495" s="1992"/>
      <c r="V495" s="1992"/>
      <c r="W495" s="1992"/>
      <c r="X495" s="1992"/>
      <c r="Y495" s="1992"/>
      <c r="Z495" s="1992"/>
      <c r="AA495" s="1992"/>
      <c r="AB495" s="1992"/>
      <c r="AC495" s="1992"/>
      <c r="AD495" s="1992"/>
      <c r="AE495" s="1992"/>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1716</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8" hidden="1" thickTop="1">
      <c r="A497" s="585"/>
      <c r="B497" s="585"/>
      <c r="C497" s="800"/>
      <c r="D497" s="762"/>
      <c r="E497" s="801"/>
      <c r="F497" s="1993" t="s">
        <v>601</v>
      </c>
      <c r="G497" s="1993"/>
      <c r="H497" s="1993"/>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1499</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8"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8" hidden="1" thickTop="1">
      <c r="A499" s="585"/>
      <c r="B499" s="585"/>
      <c r="C499" s="1982" t="s">
        <v>601</v>
      </c>
      <c r="D499" s="1983"/>
      <c r="E499" s="797" t="s">
        <v>1717</v>
      </c>
      <c r="F499" s="816" t="s">
        <v>1718</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8"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8" hidden="1" thickTop="1">
      <c r="A501" s="585"/>
      <c r="B501" s="585"/>
      <c r="C501" s="1984"/>
      <c r="D501" s="1985"/>
      <c r="E501" s="808"/>
      <c r="F501" s="586" t="s">
        <v>1719</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1499</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8" hidden="1" thickTop="1">
      <c r="A502" s="585"/>
      <c r="B502" s="585"/>
      <c r="C502" s="798"/>
      <c r="D502" s="585"/>
      <c r="E502" s="799"/>
      <c r="F502" s="586"/>
      <c r="G502" s="1986" t="s">
        <v>601</v>
      </c>
      <c r="H502" s="1986"/>
      <c r="I502" s="1986"/>
      <c r="J502" s="1986"/>
      <c r="K502" s="1986"/>
      <c r="L502" s="1986"/>
      <c r="M502" s="1986"/>
      <c r="N502" s="1986"/>
      <c r="O502" s="1986"/>
      <c r="P502" s="1986"/>
      <c r="Q502" s="1986"/>
      <c r="R502" s="1986"/>
      <c r="S502" s="1986"/>
      <c r="T502" s="1986"/>
      <c r="U502" s="1986"/>
      <c r="V502" s="1986"/>
      <c r="W502" s="1986"/>
      <c r="X502" s="1986"/>
      <c r="Y502" s="1986"/>
      <c r="Z502" s="1986"/>
      <c r="AA502" s="1986"/>
      <c r="AB502" s="1986"/>
      <c r="AC502" s="1986"/>
      <c r="AD502" s="1986"/>
      <c r="AE502" s="1986"/>
      <c r="AF502" s="1986"/>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8"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87" t="s">
        <v>601</v>
      </c>
      <c r="D504" s="1988"/>
      <c r="F504" s="586" t="s">
        <v>1720</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1499</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8" hidden="1" thickTop="1">
      <c r="A505" s="14"/>
      <c r="B505" s="585"/>
      <c r="C505" s="817"/>
      <c r="D505" s="765"/>
      <c r="E505" s="765"/>
      <c r="F505" s="586"/>
      <c r="G505" s="586" t="s">
        <v>1721</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1722</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87" t="s">
        <v>601</v>
      </c>
      <c r="D508" s="1988"/>
      <c r="F508" s="831" t="s">
        <v>1723</v>
      </c>
      <c r="G508" s="1907" t="s">
        <v>1724</v>
      </c>
      <c r="H508" s="1907"/>
      <c r="I508" s="1907"/>
      <c r="J508" s="1907"/>
      <c r="K508" s="1907"/>
      <c r="L508" s="1907"/>
      <c r="M508" s="1907"/>
      <c r="N508" s="1907"/>
      <c r="O508" s="1907"/>
      <c r="P508" s="1907"/>
      <c r="Q508" s="1907"/>
      <c r="R508" s="1907"/>
      <c r="S508" s="1907"/>
      <c r="T508" s="1907"/>
      <c r="U508" s="1907"/>
      <c r="V508" s="1907"/>
      <c r="W508" s="1907"/>
      <c r="X508" s="1907"/>
      <c r="Y508" s="1907"/>
      <c r="Z508" s="1907"/>
      <c r="AA508" s="1907"/>
      <c r="AB508" s="1907"/>
      <c r="AC508" s="1907"/>
      <c r="AD508" s="1907"/>
      <c r="AE508" s="1907"/>
      <c r="AF508" s="1907"/>
      <c r="AG508" s="648">
        <f>IF(AND($C$508="Yes",$C$499="Yes"),2,0)</f>
        <v>0</v>
      </c>
      <c r="AH508" s="675" t="s">
        <v>1499</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89"/>
      <c r="H509" s="1989"/>
      <c r="I509" s="1989"/>
      <c r="J509" s="1989"/>
      <c r="K509" s="1989"/>
      <c r="L509" s="1989"/>
      <c r="M509" s="1989"/>
      <c r="N509" s="1989"/>
      <c r="O509" s="1989"/>
      <c r="P509" s="1989"/>
      <c r="Q509" s="1989"/>
      <c r="R509" s="1989"/>
      <c r="S509" s="1989"/>
      <c r="T509" s="1989"/>
      <c r="U509" s="1989"/>
      <c r="V509" s="1989"/>
      <c r="W509" s="1989"/>
      <c r="X509" s="1989"/>
      <c r="Y509" s="1989"/>
      <c r="Z509" s="1989"/>
      <c r="AA509" s="1989"/>
      <c r="AB509" s="1989"/>
      <c r="AC509" s="1989"/>
      <c r="AD509" s="1989"/>
      <c r="AE509" s="1989"/>
      <c r="AF509" s="1989"/>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1725</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1994" t="s">
        <v>601</v>
      </c>
      <c r="D512" s="1995"/>
      <c r="E512" s="838" t="s">
        <v>1726</v>
      </c>
      <c r="F512" s="807" t="s">
        <v>1727</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1499</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1996" t="s">
        <v>601</v>
      </c>
      <c r="G513" s="1996"/>
      <c r="H513" s="1996"/>
      <c r="I513" s="1996"/>
      <c r="J513" s="1996"/>
      <c r="K513" s="1996"/>
      <c r="L513" s="1996"/>
      <c r="M513" s="1996"/>
      <c r="N513" s="1996"/>
      <c r="O513" s="1996"/>
      <c r="P513" s="1996"/>
      <c r="Q513" s="1996"/>
      <c r="R513" s="1996"/>
      <c r="S513" s="1996"/>
      <c r="T513" s="1996"/>
      <c r="U513" s="1996"/>
      <c r="V513" s="1996"/>
      <c r="W513" s="1996"/>
      <c r="X513" s="1996"/>
      <c r="Y513" s="1996"/>
      <c r="Z513" s="1996"/>
      <c r="AA513" s="1996"/>
      <c r="AB513" s="1996"/>
      <c r="AC513" s="1996"/>
      <c r="AD513" s="1996"/>
      <c r="AE513" s="1996"/>
      <c r="AF513" s="1996"/>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1997"/>
      <c r="G514" s="1997"/>
      <c r="H514" s="1997"/>
      <c r="I514" s="1997"/>
      <c r="J514" s="1997"/>
      <c r="K514" s="1997"/>
      <c r="L514" s="1997"/>
      <c r="M514" s="1997"/>
      <c r="N514" s="1997"/>
      <c r="O514" s="1997"/>
      <c r="P514" s="1997"/>
      <c r="Q514" s="1997"/>
      <c r="R514" s="1997"/>
      <c r="S514" s="1997"/>
      <c r="T514" s="1997"/>
      <c r="U514" s="1997"/>
      <c r="V514" s="1997"/>
      <c r="W514" s="1997"/>
      <c r="X514" s="1997"/>
      <c r="Y514" s="1997"/>
      <c r="Z514" s="1997"/>
      <c r="AA514" s="1997"/>
      <c r="AB514" s="1997"/>
      <c r="AC514" s="1997"/>
      <c r="AD514" s="1997"/>
      <c r="AE514" s="1997"/>
      <c r="AF514" s="1997"/>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1728</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1729</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2423</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1730</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2424</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1731</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1732</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1733</v>
      </c>
      <c r="AK524" s="1902">
        <f>SUM(AG468:AG513)</f>
        <v>0</v>
      </c>
      <c r="AL524" s="1903"/>
      <c r="AM524" s="1904"/>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8" thickTop="1"/>
    <row r="527" spans="1:81" s="585" customFormat="1" ht="12.75" customHeight="1">
      <c r="A527" s="574" t="s">
        <v>1734</v>
      </c>
      <c r="B527" s="574" t="s">
        <v>1735</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08" t="s">
        <v>1736</v>
      </c>
      <c r="AF527" s="1908"/>
      <c r="AG527" s="1908"/>
      <c r="AH527" s="1908"/>
      <c r="AI527" s="1908"/>
      <c r="AJ527" s="1908"/>
      <c r="AK527" s="1908"/>
      <c r="AL527" s="630"/>
      <c r="AM527" s="630"/>
      <c r="AN527" s="632"/>
    </row>
    <row r="528" spans="1:81" s="585" customFormat="1" ht="12.75" customHeight="1">
      <c r="A528" s="574"/>
      <c r="B528" s="574" t="s">
        <v>1495</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17" t="s">
        <v>601</v>
      </c>
      <c r="D530" s="1917"/>
      <c r="E530" s="586"/>
      <c r="F530" s="1976" t="s">
        <v>1737</v>
      </c>
      <c r="G530" s="1977"/>
      <c r="H530" s="1977"/>
      <c r="I530" s="1977"/>
      <c r="J530" s="1977"/>
      <c r="K530" s="1977"/>
      <c r="L530" s="1977"/>
      <c r="M530" s="1977"/>
      <c r="N530" s="1977"/>
      <c r="O530" s="1977"/>
      <c r="P530" s="1977"/>
      <c r="Q530" s="1977"/>
      <c r="R530" s="1977"/>
      <c r="S530" s="1977"/>
      <c r="T530" s="1977"/>
      <c r="U530" s="1977"/>
      <c r="V530" s="1977"/>
      <c r="W530" s="1977"/>
      <c r="X530" s="1977"/>
      <c r="Y530" s="1977"/>
      <c r="Z530" s="1977"/>
      <c r="AA530" s="1977"/>
      <c r="AB530" s="1977"/>
      <c r="AC530" s="1977"/>
      <c r="AD530" s="1977"/>
      <c r="AE530" s="1977"/>
      <c r="AF530" s="1977"/>
      <c r="AG530" s="1977"/>
      <c r="AH530" s="1977"/>
      <c r="AI530" s="1977"/>
      <c r="AJ530" s="1977"/>
      <c r="AK530" s="1977"/>
      <c r="AL530" s="1978"/>
      <c r="AM530" s="630"/>
      <c r="AN530" s="632"/>
    </row>
    <row r="531" spans="1:49" s="585" customFormat="1" ht="12.75" customHeight="1">
      <c r="A531" s="574"/>
      <c r="B531" s="574"/>
      <c r="C531" s="586"/>
      <c r="D531" s="586"/>
      <c r="E531" s="586"/>
      <c r="F531" s="1979"/>
      <c r="G531" s="1980"/>
      <c r="H531" s="1980"/>
      <c r="I531" s="1980"/>
      <c r="J531" s="1980"/>
      <c r="K531" s="1980"/>
      <c r="L531" s="1980"/>
      <c r="M531" s="1980"/>
      <c r="N531" s="1980"/>
      <c r="O531" s="1980"/>
      <c r="P531" s="1980"/>
      <c r="Q531" s="1980"/>
      <c r="R531" s="1980"/>
      <c r="S531" s="1980"/>
      <c r="T531" s="1980"/>
      <c r="U531" s="1980"/>
      <c r="V531" s="1980"/>
      <c r="W531" s="1980"/>
      <c r="X531" s="1980"/>
      <c r="Y531" s="1980"/>
      <c r="Z531" s="1980"/>
      <c r="AA531" s="1980"/>
      <c r="AB531" s="1980"/>
      <c r="AC531" s="1980"/>
      <c r="AD531" s="1980"/>
      <c r="AE531" s="1980"/>
      <c r="AF531" s="1980"/>
      <c r="AG531" s="1980"/>
      <c r="AH531" s="1980"/>
      <c r="AI531" s="1980"/>
      <c r="AJ531" s="1980"/>
      <c r="AK531" s="1980"/>
      <c r="AL531" s="1981"/>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17" t="s">
        <v>555</v>
      </c>
      <c r="D533" s="1917"/>
      <c r="E533" s="842"/>
      <c r="F533" s="679" t="s">
        <v>1738</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894" t="s">
        <v>1739</v>
      </c>
      <c r="G534" s="1895"/>
      <c r="H534" s="1895"/>
      <c r="I534" s="1895"/>
      <c r="J534" s="1895"/>
      <c r="K534" s="1895"/>
      <c r="L534" s="1895"/>
      <c r="M534" s="1895"/>
      <c r="N534" s="1895"/>
      <c r="O534" s="1895"/>
      <c r="P534" s="1895"/>
      <c r="Q534" s="1895"/>
      <c r="R534" s="1895"/>
      <c r="S534" s="1895"/>
      <c r="T534" s="1895"/>
      <c r="U534" s="1895"/>
      <c r="V534" s="1895"/>
      <c r="W534" s="1895"/>
      <c r="X534" s="1895"/>
      <c r="Y534" s="1895"/>
      <c r="Z534" s="1895"/>
      <c r="AA534" s="1895"/>
      <c r="AB534" s="1895"/>
      <c r="AC534" s="1895"/>
      <c r="AD534" s="1895"/>
      <c r="AE534" s="1895"/>
      <c r="AF534" s="1895"/>
      <c r="AG534" s="1895"/>
      <c r="AH534" s="1895"/>
      <c r="AI534" s="1895"/>
      <c r="AJ534" s="1895"/>
      <c r="AK534" s="1895"/>
      <c r="AL534" s="1896"/>
      <c r="AM534" s="630"/>
      <c r="AN534" s="632"/>
      <c r="AS534" s="906"/>
      <c r="AT534" s="906"/>
      <c r="AU534" s="906"/>
      <c r="AV534" s="906"/>
      <c r="AW534" s="906"/>
    </row>
    <row r="535" spans="1:49" s="585" customFormat="1" ht="12.75" customHeight="1">
      <c r="B535" s="842"/>
      <c r="C535" s="842"/>
      <c r="D535" s="842"/>
      <c r="E535" s="842"/>
      <c r="F535" s="1894"/>
      <c r="G535" s="1895"/>
      <c r="H535" s="1895"/>
      <c r="I535" s="1895"/>
      <c r="J535" s="1895"/>
      <c r="K535" s="1895"/>
      <c r="L535" s="1895"/>
      <c r="M535" s="1895"/>
      <c r="N535" s="1895"/>
      <c r="O535" s="1895"/>
      <c r="P535" s="1895"/>
      <c r="Q535" s="1895"/>
      <c r="R535" s="1895"/>
      <c r="S535" s="1895"/>
      <c r="T535" s="1895"/>
      <c r="U535" s="1895"/>
      <c r="V535" s="1895"/>
      <c r="W535" s="1895"/>
      <c r="X535" s="1895"/>
      <c r="Y535" s="1895"/>
      <c r="Z535" s="1895"/>
      <c r="AA535" s="1895"/>
      <c r="AB535" s="1895"/>
      <c r="AC535" s="1895"/>
      <c r="AD535" s="1895"/>
      <c r="AE535" s="1895"/>
      <c r="AF535" s="1895"/>
      <c r="AG535" s="1895"/>
      <c r="AH535" s="1895"/>
      <c r="AI535" s="1895"/>
      <c r="AJ535" s="1895"/>
      <c r="AK535" s="1895"/>
      <c r="AL535" s="1896"/>
      <c r="AM535" s="630"/>
      <c r="AN535" s="632"/>
    </row>
    <row r="536" spans="1:49" s="585" customFormat="1" ht="12.75" customHeight="1">
      <c r="B536" s="842"/>
      <c r="C536" s="842"/>
      <c r="D536" s="842"/>
      <c r="E536" s="842"/>
      <c r="F536" s="847" t="s">
        <v>2425</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894" t="s">
        <v>1740</v>
      </c>
      <c r="G537" s="1895"/>
      <c r="H537" s="1895"/>
      <c r="I537" s="1895"/>
      <c r="J537" s="1895"/>
      <c r="K537" s="1895"/>
      <c r="L537" s="1895"/>
      <c r="M537" s="1895"/>
      <c r="N537" s="1895"/>
      <c r="O537" s="1895"/>
      <c r="P537" s="1895"/>
      <c r="Q537" s="1895"/>
      <c r="R537" s="1895"/>
      <c r="S537" s="1895"/>
      <c r="T537" s="1895"/>
      <c r="U537" s="1895"/>
      <c r="V537" s="1895"/>
      <c r="W537" s="1895"/>
      <c r="X537" s="1895"/>
      <c r="Y537" s="1895"/>
      <c r="Z537" s="1895"/>
      <c r="AA537" s="1895"/>
      <c r="AB537" s="1895"/>
      <c r="AC537" s="1895"/>
      <c r="AD537" s="1895"/>
      <c r="AE537" s="1895"/>
      <c r="AF537" s="1895"/>
      <c r="AG537" s="1895"/>
      <c r="AH537" s="1895"/>
      <c r="AI537" s="1895"/>
      <c r="AJ537" s="1895"/>
      <c r="AK537" s="1895"/>
      <c r="AL537" s="849"/>
      <c r="AM537" s="630"/>
      <c r="AN537" s="632"/>
    </row>
    <row r="538" spans="1:49" s="585" customFormat="1" ht="12.75" customHeight="1">
      <c r="B538" s="842"/>
      <c r="C538" s="842"/>
      <c r="D538" s="842"/>
      <c r="E538" s="842"/>
      <c r="F538" s="1897"/>
      <c r="G538" s="1898"/>
      <c r="H538" s="1898"/>
      <c r="I538" s="1898"/>
      <c r="J538" s="1898"/>
      <c r="K538" s="1898"/>
      <c r="L538" s="1898"/>
      <c r="M538" s="1898"/>
      <c r="N538" s="1898"/>
      <c r="O538" s="1898"/>
      <c r="P538" s="1898"/>
      <c r="Q538" s="1898"/>
      <c r="R538" s="1898"/>
      <c r="S538" s="1898"/>
      <c r="T538" s="1898"/>
      <c r="U538" s="1898"/>
      <c r="V538" s="1898"/>
      <c r="W538" s="1898"/>
      <c r="X538" s="1898"/>
      <c r="Y538" s="1898"/>
      <c r="Z538" s="1898"/>
      <c r="AA538" s="1898"/>
      <c r="AB538" s="1898"/>
      <c r="AC538" s="1898"/>
      <c r="AD538" s="1898"/>
      <c r="AE538" s="1898"/>
      <c r="AF538" s="1898"/>
      <c r="AG538" s="1898"/>
      <c r="AH538" s="1898"/>
      <c r="AI538" s="1898"/>
      <c r="AJ538" s="1898"/>
      <c r="AK538" s="1898"/>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89">
        <f>Application!AJ961</f>
        <v>111426285</v>
      </c>
      <c r="AQ539" s="1889"/>
      <c r="AR539" s="1889"/>
    </row>
    <row r="540" spans="1:49" s="585" customFormat="1" ht="12.75" customHeight="1">
      <c r="A540" s="533"/>
      <c r="B540" s="482" t="s">
        <v>1741</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899">
        <f>'Sources and Uses Budget'!S107+'Sources and Uses Budget'!T107</f>
        <v>81908175</v>
      </c>
      <c r="AG540" s="1899"/>
      <c r="AH540" s="1899"/>
      <c r="AI540" s="1899"/>
      <c r="AJ540" s="1899"/>
      <c r="AK540" s="630"/>
      <c r="AL540" s="630"/>
      <c r="AM540" s="630"/>
      <c r="AN540" s="632"/>
    </row>
    <row r="541" spans="1:49" s="585" customFormat="1" ht="12.75" customHeight="1">
      <c r="A541" s="660"/>
      <c r="B541" s="660" t="s">
        <v>1742</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00">
        <f>IFERROR(AP548,0)</f>
        <v>175869771.5</v>
      </c>
      <c r="AG541" s="1900"/>
      <c r="AH541" s="1900"/>
      <c r="AI541" s="1900"/>
      <c r="AJ541" s="1900"/>
      <c r="AK541" s="630"/>
      <c r="AL541" s="630"/>
      <c r="AM541" s="630"/>
      <c r="AN541" s="632"/>
      <c r="AP541" s="1889">
        <f>Application!AJ1010</f>
        <v>11142628.5</v>
      </c>
      <c r="AQ541" s="1889"/>
      <c r="AR541" s="1889"/>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1">
        <f>IFERROR(ROUNDDOWN(IF(C533="YES",((1-(AF540/AF541))*2),(1-(AF540/AF541))),2),0)</f>
        <v>1.06</v>
      </c>
      <c r="AG542" s="1901"/>
      <c r="AH542" s="1901"/>
      <c r="AI542" s="1901"/>
      <c r="AJ542" s="1901"/>
      <c r="AK542" s="630"/>
      <c r="AL542" s="630"/>
      <c r="AM542" s="630"/>
      <c r="AN542" s="632"/>
      <c r="AP542" s="1890">
        <f>Application!AJ1014</f>
        <v>22285257</v>
      </c>
      <c r="AQ542" s="1890"/>
      <c r="AR542" s="1890"/>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09">
        <f>IF(((AP541+AP542)/AP539)&gt;0.8,0.8,((AP541+AP542)/AP539))</f>
        <v>0.3</v>
      </c>
      <c r="AQ543" s="1909"/>
      <c r="AR543" s="1909"/>
    </row>
    <row r="544" spans="1:49" s="585" customFormat="1" ht="12.75" customHeight="1">
      <c r="A544" s="659"/>
      <c r="B544" s="1955" t="s">
        <v>2426</v>
      </c>
      <c r="C544" s="1956"/>
      <c r="D544" s="1956"/>
      <c r="E544" s="1956"/>
      <c r="F544" s="1956"/>
      <c r="G544" s="1956"/>
      <c r="H544" s="1956"/>
      <c r="I544" s="1956"/>
      <c r="J544" s="1956"/>
      <c r="K544" s="1956"/>
      <c r="L544" s="1956"/>
      <c r="M544" s="1956"/>
      <c r="N544" s="1956"/>
      <c r="O544" s="1956"/>
      <c r="P544" s="1956"/>
      <c r="Q544" s="1956"/>
      <c r="R544" s="1956"/>
      <c r="S544" s="1956"/>
      <c r="T544" s="1956"/>
      <c r="U544" s="1956"/>
      <c r="V544" s="1956"/>
      <c r="W544" s="1956"/>
      <c r="X544" s="1956"/>
      <c r="Y544" s="1956"/>
      <c r="Z544" s="1956"/>
      <c r="AA544" s="1956"/>
      <c r="AB544" s="1956"/>
      <c r="AC544" s="1956"/>
      <c r="AD544" s="1956"/>
      <c r="AE544" s="1956"/>
      <c r="AF544" s="1956"/>
      <c r="AG544" s="1956"/>
      <c r="AH544" s="1956"/>
      <c r="AI544" s="1956"/>
      <c r="AJ544" s="1957"/>
      <c r="AK544" s="630"/>
      <c r="AL544" s="630"/>
      <c r="AM544" s="630"/>
      <c r="AN544" s="632"/>
    </row>
    <row r="545" spans="1:44" s="585" customFormat="1" ht="12.75" customHeight="1">
      <c r="A545" s="659"/>
      <c r="B545" s="1958"/>
      <c r="C545" s="1959"/>
      <c r="D545" s="1959"/>
      <c r="E545" s="1959"/>
      <c r="F545" s="1959"/>
      <c r="G545" s="1959"/>
      <c r="H545" s="1959"/>
      <c r="I545" s="1959"/>
      <c r="J545" s="1959"/>
      <c r="K545" s="1959"/>
      <c r="L545" s="1959"/>
      <c r="M545" s="1959"/>
      <c r="N545" s="1959"/>
      <c r="O545" s="1959"/>
      <c r="P545" s="1959"/>
      <c r="Q545" s="1959"/>
      <c r="R545" s="1959"/>
      <c r="S545" s="1959"/>
      <c r="T545" s="1959"/>
      <c r="U545" s="1959"/>
      <c r="V545" s="1959"/>
      <c r="W545" s="1959"/>
      <c r="X545" s="1959"/>
      <c r="Y545" s="1959"/>
      <c r="Z545" s="1959"/>
      <c r="AA545" s="1959"/>
      <c r="AB545" s="1959"/>
      <c r="AC545" s="1959"/>
      <c r="AD545" s="1959"/>
      <c r="AE545" s="1959"/>
      <c r="AF545" s="1959"/>
      <c r="AG545" s="1959"/>
      <c r="AH545" s="1959"/>
      <c r="AI545" s="1959"/>
      <c r="AJ545" s="1960"/>
      <c r="AK545" s="630"/>
      <c r="AL545" s="630"/>
      <c r="AM545" s="630"/>
      <c r="AN545" s="632"/>
      <c r="AP545" s="1889">
        <f>AP546-AP541-AP542</f>
        <v>142441886</v>
      </c>
      <c r="AQ545" s="1910"/>
      <c r="AR545" s="1910"/>
    </row>
    <row r="546" spans="1:44" s="585" customFormat="1" ht="12.75" customHeight="1">
      <c r="A546" s="659"/>
      <c r="B546" s="1961"/>
      <c r="C546" s="1962"/>
      <c r="D546" s="1962"/>
      <c r="E546" s="1962"/>
      <c r="F546" s="1962"/>
      <c r="G546" s="1962"/>
      <c r="H546" s="1962"/>
      <c r="I546" s="1962"/>
      <c r="J546" s="1962"/>
      <c r="K546" s="1962"/>
      <c r="L546" s="1962"/>
      <c r="M546" s="1962"/>
      <c r="N546" s="1962"/>
      <c r="O546" s="1962"/>
      <c r="P546" s="1962"/>
      <c r="Q546" s="1962"/>
      <c r="R546" s="1962"/>
      <c r="S546" s="1962"/>
      <c r="T546" s="1962"/>
      <c r="U546" s="1962"/>
      <c r="V546" s="1962"/>
      <c r="W546" s="1962"/>
      <c r="X546" s="1962"/>
      <c r="Y546" s="1962"/>
      <c r="Z546" s="1962"/>
      <c r="AA546" s="1962"/>
      <c r="AB546" s="1962"/>
      <c r="AC546" s="1962"/>
      <c r="AD546" s="1962"/>
      <c r="AE546" s="1962"/>
      <c r="AF546" s="1962"/>
      <c r="AG546" s="1962"/>
      <c r="AH546" s="1962"/>
      <c r="AI546" s="1962"/>
      <c r="AJ546" s="1963"/>
      <c r="AK546" s="630"/>
      <c r="AL546" s="630"/>
      <c r="AM546" s="630"/>
      <c r="AN546" s="632"/>
      <c r="AP546" s="1889">
        <f>Application!AJ1018</f>
        <v>175869771.5</v>
      </c>
      <c r="AQ546" s="1889"/>
      <c r="AR546" s="1889"/>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1743</v>
      </c>
      <c r="AK548" s="1964">
        <f>IFERROR(IF(AND(C530="N/A",C533="N/A"),0,IF(AF542=0,0,IF((AF542*100)&gt;12,12,(AF542*100)))),0)</f>
        <v>12</v>
      </c>
      <c r="AL548" s="1964"/>
      <c r="AM548" s="1965"/>
      <c r="AN548" s="632"/>
      <c r="AP548" s="1878">
        <f>AP545+(AP539*AP543)</f>
        <v>175869771.5</v>
      </c>
      <c r="AQ548" s="1879"/>
      <c r="AR548" s="1880"/>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2416</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08" t="s">
        <v>1485</v>
      </c>
      <c r="AF551" s="1908"/>
      <c r="AG551" s="1908"/>
      <c r="AH551" s="1908"/>
      <c r="AI551" s="1908"/>
      <c r="AJ551" s="1908"/>
      <c r="AK551" s="1908"/>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895" t="s">
        <v>2417</v>
      </c>
      <c r="C553" s="1895"/>
      <c r="D553" s="1895"/>
      <c r="E553" s="1895"/>
      <c r="F553" s="1895"/>
      <c r="G553" s="1895"/>
      <c r="H553" s="1895"/>
      <c r="I553" s="1895"/>
      <c r="J553" s="1895"/>
      <c r="K553" s="1895"/>
      <c r="L553" s="1895"/>
      <c r="M553" s="1895"/>
      <c r="N553" s="1895"/>
      <c r="O553" s="1895"/>
      <c r="P553" s="1895"/>
      <c r="Q553" s="1895"/>
      <c r="R553" s="1895"/>
      <c r="S553" s="1895"/>
      <c r="T553" s="1895"/>
      <c r="U553" s="1895"/>
      <c r="V553" s="1895"/>
      <c r="W553" s="1895"/>
      <c r="X553" s="1895"/>
      <c r="Y553" s="1895"/>
      <c r="Z553" s="1895"/>
      <c r="AA553" s="1895"/>
      <c r="AB553" s="1895"/>
      <c r="AC553" s="1895"/>
      <c r="AD553" s="1895"/>
      <c r="AE553" s="1895"/>
      <c r="AF553" s="1895"/>
      <c r="AG553" s="1895"/>
      <c r="AH553" s="1895"/>
      <c r="AI553" s="1895"/>
      <c r="AJ553" s="1895"/>
      <c r="AK553" s="677"/>
      <c r="AL553" s="608"/>
      <c r="AM553" s="638"/>
      <c r="AN553" s="632"/>
    </row>
    <row r="554" spans="1:44" s="585" customFormat="1" ht="12.75" customHeight="1">
      <c r="A554" s="638"/>
      <c r="B554" s="1895"/>
      <c r="C554" s="1895"/>
      <c r="D554" s="1895"/>
      <c r="E554" s="1895"/>
      <c r="F554" s="1895"/>
      <c r="G554" s="1895"/>
      <c r="H554" s="1895"/>
      <c r="I554" s="1895"/>
      <c r="J554" s="1895"/>
      <c r="K554" s="1895"/>
      <c r="L554" s="1895"/>
      <c r="M554" s="1895"/>
      <c r="N554" s="1895"/>
      <c r="O554" s="1895"/>
      <c r="P554" s="1895"/>
      <c r="Q554" s="1895"/>
      <c r="R554" s="1895"/>
      <c r="S554" s="1895"/>
      <c r="T554" s="1895"/>
      <c r="U554" s="1895"/>
      <c r="V554" s="1895"/>
      <c r="W554" s="1895"/>
      <c r="X554" s="1895"/>
      <c r="Y554" s="1895"/>
      <c r="Z554" s="1895"/>
      <c r="AA554" s="1895"/>
      <c r="AB554" s="1895"/>
      <c r="AC554" s="1895"/>
      <c r="AD554" s="1895"/>
      <c r="AE554" s="1895"/>
      <c r="AF554" s="1895"/>
      <c r="AG554" s="1895"/>
      <c r="AH554" s="1895"/>
      <c r="AI554" s="1895"/>
      <c r="AJ554" s="1895"/>
      <c r="AK554" s="677"/>
      <c r="AL554" s="608"/>
      <c r="AM554" s="638"/>
      <c r="AN554" s="632"/>
    </row>
    <row r="555" spans="1:44" s="585" customFormat="1" ht="12.75" customHeight="1">
      <c r="A555" s="638"/>
      <c r="B555" s="1895"/>
      <c r="C555" s="1895"/>
      <c r="D555" s="1895"/>
      <c r="E555" s="1895"/>
      <c r="F555" s="1895"/>
      <c r="G555" s="1895"/>
      <c r="H555" s="1895"/>
      <c r="I555" s="1895"/>
      <c r="J555" s="1895"/>
      <c r="K555" s="1895"/>
      <c r="L555" s="1895"/>
      <c r="M555" s="1895"/>
      <c r="N555" s="1895"/>
      <c r="O555" s="1895"/>
      <c r="P555" s="1895"/>
      <c r="Q555" s="1895"/>
      <c r="R555" s="1895"/>
      <c r="S555" s="1895"/>
      <c r="T555" s="1895"/>
      <c r="U555" s="1895"/>
      <c r="V555" s="1895"/>
      <c r="W555" s="1895"/>
      <c r="X555" s="1895"/>
      <c r="Y555" s="1895"/>
      <c r="Z555" s="1895"/>
      <c r="AA555" s="1895"/>
      <c r="AB555" s="1895"/>
      <c r="AC555" s="1895"/>
      <c r="AD555" s="1895"/>
      <c r="AE555" s="1895"/>
      <c r="AF555" s="1895"/>
      <c r="AG555" s="1895"/>
      <c r="AH555" s="1895"/>
      <c r="AI555" s="1895"/>
      <c r="AJ555" s="1895"/>
      <c r="AK555" s="677"/>
      <c r="AL555" s="608"/>
      <c r="AM555" s="638"/>
      <c r="AN555" s="632"/>
    </row>
    <row r="556" spans="1:44" s="585" customFormat="1" ht="12.75" customHeight="1">
      <c r="A556" s="638"/>
      <c r="B556" s="1895"/>
      <c r="C556" s="1895"/>
      <c r="D556" s="1895"/>
      <c r="E556" s="1895"/>
      <c r="F556" s="1895"/>
      <c r="G556" s="1895"/>
      <c r="H556" s="1895"/>
      <c r="I556" s="1895"/>
      <c r="J556" s="1895"/>
      <c r="K556" s="1895"/>
      <c r="L556" s="1895"/>
      <c r="M556" s="1895"/>
      <c r="N556" s="1895"/>
      <c r="O556" s="1895"/>
      <c r="P556" s="1895"/>
      <c r="Q556" s="1895"/>
      <c r="R556" s="1895"/>
      <c r="S556" s="1895"/>
      <c r="T556" s="1895"/>
      <c r="U556" s="1895"/>
      <c r="V556" s="1895"/>
      <c r="W556" s="1895"/>
      <c r="X556" s="1895"/>
      <c r="Y556" s="1895"/>
      <c r="Z556" s="1895"/>
      <c r="AA556" s="1895"/>
      <c r="AB556" s="1895"/>
      <c r="AC556" s="1895"/>
      <c r="AD556" s="1895"/>
      <c r="AE556" s="1895"/>
      <c r="AF556" s="1895"/>
      <c r="AG556" s="1895"/>
      <c r="AH556" s="1895"/>
      <c r="AI556" s="1895"/>
      <c r="AJ556" s="1895"/>
      <c r="AK556" s="677"/>
      <c r="AL556" s="608"/>
      <c r="AM556" s="638"/>
      <c r="AN556" s="632"/>
    </row>
    <row r="557" spans="1:44" s="585" customFormat="1" ht="12.75" customHeight="1">
      <c r="A557" s="638"/>
      <c r="B557" s="1895"/>
      <c r="C557" s="1895"/>
      <c r="D557" s="1895"/>
      <c r="E557" s="1895"/>
      <c r="F557" s="1895"/>
      <c r="G557" s="1895"/>
      <c r="H557" s="1895"/>
      <c r="I557" s="1895"/>
      <c r="J557" s="1895"/>
      <c r="K557" s="1895"/>
      <c r="L557" s="1895"/>
      <c r="M557" s="1895"/>
      <c r="N557" s="1895"/>
      <c r="O557" s="1895"/>
      <c r="P557" s="1895"/>
      <c r="Q557" s="1895"/>
      <c r="R557" s="1895"/>
      <c r="S557" s="1895"/>
      <c r="T557" s="1895"/>
      <c r="U557" s="1895"/>
      <c r="V557" s="1895"/>
      <c r="W557" s="1895"/>
      <c r="X557" s="1895"/>
      <c r="Y557" s="1895"/>
      <c r="Z557" s="1895"/>
      <c r="AA557" s="1895"/>
      <c r="AB557" s="1895"/>
      <c r="AC557" s="1895"/>
      <c r="AD557" s="1895"/>
      <c r="AE557" s="1895"/>
      <c r="AF557" s="1895"/>
      <c r="AG557" s="1895"/>
      <c r="AH557" s="1895"/>
      <c r="AI557" s="1895"/>
      <c r="AJ557" s="1895"/>
      <c r="AK557" s="677"/>
      <c r="AL557" s="608"/>
      <c r="AM557" s="638"/>
      <c r="AN557" s="632"/>
    </row>
    <row r="558" spans="1:44" s="585" customFormat="1" ht="12.75" customHeight="1">
      <c r="A558" s="638"/>
      <c r="B558" s="1895"/>
      <c r="C558" s="1895"/>
      <c r="D558" s="1895"/>
      <c r="E558" s="1895"/>
      <c r="F558" s="1895"/>
      <c r="G558" s="1895"/>
      <c r="H558" s="1895"/>
      <c r="I558" s="1895"/>
      <c r="J558" s="1895"/>
      <c r="K558" s="1895"/>
      <c r="L558" s="1895"/>
      <c r="M558" s="1895"/>
      <c r="N558" s="1895"/>
      <c r="O558" s="1895"/>
      <c r="P558" s="1895"/>
      <c r="Q558" s="1895"/>
      <c r="R558" s="1895"/>
      <c r="S558" s="1895"/>
      <c r="T558" s="1895"/>
      <c r="U558" s="1895"/>
      <c r="V558" s="1895"/>
      <c r="W558" s="1895"/>
      <c r="X558" s="1895"/>
      <c r="Y558" s="1895"/>
      <c r="Z558" s="1895"/>
      <c r="AA558" s="1895"/>
      <c r="AB558" s="1895"/>
      <c r="AC558" s="1895"/>
      <c r="AD558" s="1895"/>
      <c r="AE558" s="1895"/>
      <c r="AF558" s="1895"/>
      <c r="AG558" s="1895"/>
      <c r="AH558" s="1895"/>
      <c r="AI558" s="1895"/>
      <c r="AJ558" s="1895"/>
      <c r="AK558" s="677"/>
      <c r="AL558" s="608"/>
      <c r="AM558" s="638"/>
      <c r="AN558" s="632"/>
    </row>
    <row r="559" spans="1:44" s="585" customFormat="1" ht="12.75" customHeight="1">
      <c r="A559" s="638"/>
      <c r="B559" s="1895"/>
      <c r="C559" s="1895"/>
      <c r="D559" s="1895"/>
      <c r="E559" s="1895"/>
      <c r="F559" s="1895"/>
      <c r="G559" s="1895"/>
      <c r="H559" s="1895"/>
      <c r="I559" s="1895"/>
      <c r="J559" s="1895"/>
      <c r="K559" s="1895"/>
      <c r="L559" s="1895"/>
      <c r="M559" s="1895"/>
      <c r="N559" s="1895"/>
      <c r="O559" s="1895"/>
      <c r="P559" s="1895"/>
      <c r="Q559" s="1895"/>
      <c r="R559" s="1895"/>
      <c r="S559" s="1895"/>
      <c r="T559" s="1895"/>
      <c r="U559" s="1895"/>
      <c r="V559" s="1895"/>
      <c r="W559" s="1895"/>
      <c r="X559" s="1895"/>
      <c r="Y559" s="1895"/>
      <c r="Z559" s="1895"/>
      <c r="AA559" s="1895"/>
      <c r="AB559" s="1895"/>
      <c r="AC559" s="1895"/>
      <c r="AD559" s="1895"/>
      <c r="AE559" s="1895"/>
      <c r="AF559" s="1895"/>
      <c r="AG559" s="1895"/>
      <c r="AH559" s="1895"/>
      <c r="AI559" s="1895"/>
      <c r="AJ559" s="1895"/>
      <c r="AK559" s="677"/>
      <c r="AL559" s="608"/>
      <c r="AM559" s="638"/>
      <c r="AN559" s="632"/>
    </row>
    <row r="560" spans="1:44" ht="12.75" customHeight="1">
      <c r="A560" s="638"/>
      <c r="B560" s="1895"/>
      <c r="C560" s="1895"/>
      <c r="D560" s="1895"/>
      <c r="E560" s="1895"/>
      <c r="F560" s="1895"/>
      <c r="G560" s="1895"/>
      <c r="H560" s="1895"/>
      <c r="I560" s="1895"/>
      <c r="J560" s="1895"/>
      <c r="K560" s="1895"/>
      <c r="L560" s="1895"/>
      <c r="M560" s="1895"/>
      <c r="N560" s="1895"/>
      <c r="O560" s="1895"/>
      <c r="P560" s="1895"/>
      <c r="Q560" s="1895"/>
      <c r="R560" s="1895"/>
      <c r="S560" s="1895"/>
      <c r="T560" s="1895"/>
      <c r="U560" s="1895"/>
      <c r="V560" s="1895"/>
      <c r="W560" s="1895"/>
      <c r="X560" s="1895"/>
      <c r="Y560" s="1895"/>
      <c r="Z560" s="1895"/>
      <c r="AA560" s="1895"/>
      <c r="AB560" s="1895"/>
      <c r="AC560" s="1895"/>
      <c r="AD560" s="1895"/>
      <c r="AE560" s="1895"/>
      <c r="AF560" s="1895"/>
      <c r="AG560" s="1895"/>
      <c r="AH560" s="1895"/>
      <c r="AI560" s="1895"/>
      <c r="AJ560" s="1895"/>
      <c r="AK560" s="677"/>
      <c r="AL560" s="608"/>
      <c r="AM560" s="638"/>
    </row>
    <row r="561" spans="1:42" s="585" customFormat="1" ht="12.75" customHeight="1">
      <c r="B561" s="1895"/>
      <c r="C561" s="1895"/>
      <c r="D561" s="1895"/>
      <c r="E561" s="1895"/>
      <c r="F561" s="1895"/>
      <c r="G561" s="1895"/>
      <c r="H561" s="1895"/>
      <c r="I561" s="1895"/>
      <c r="J561" s="1895"/>
      <c r="K561" s="1895"/>
      <c r="L561" s="1895"/>
      <c r="M561" s="1895"/>
      <c r="N561" s="1895"/>
      <c r="O561" s="1895"/>
      <c r="P561" s="1895"/>
      <c r="Q561" s="1895"/>
      <c r="R561" s="1895"/>
      <c r="S561" s="1895"/>
      <c r="T561" s="1895"/>
      <c r="U561" s="1895"/>
      <c r="V561" s="1895"/>
      <c r="W561" s="1895"/>
      <c r="X561" s="1895"/>
      <c r="Y561" s="1895"/>
      <c r="Z561" s="1895"/>
      <c r="AA561" s="1895"/>
      <c r="AB561" s="1895"/>
      <c r="AC561" s="1895"/>
      <c r="AD561" s="1895"/>
      <c r="AE561" s="1895"/>
      <c r="AF561" s="1895"/>
      <c r="AG561" s="1895"/>
      <c r="AH561" s="1895"/>
      <c r="AI561" s="1895"/>
      <c r="AJ561" s="1895"/>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1565</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1566</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1957</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75" t="s">
        <v>1509</v>
      </c>
      <c r="AG567" s="1975"/>
      <c r="AH567" s="1975"/>
      <c r="AI567" s="1975"/>
      <c r="AJ567" s="1975"/>
      <c r="AK567" s="1975"/>
      <c r="AL567" s="1975"/>
      <c r="AN567" s="632"/>
    </row>
    <row r="568" spans="1:42" s="585" customFormat="1" ht="12.75" customHeight="1">
      <c r="B568" s="571"/>
      <c r="C568" s="651"/>
      <c r="D568" s="698"/>
      <c r="E568" s="874" t="s">
        <v>1958</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1959</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1960</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1961</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1962</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1963</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75" t="s">
        <v>1567</v>
      </c>
      <c r="AG574" s="1975"/>
      <c r="AH574" s="1975"/>
      <c r="AI574" s="1975"/>
      <c r="AJ574" s="1975"/>
      <c r="AK574" s="1975"/>
      <c r="AL574" s="1975"/>
      <c r="AN574" s="632"/>
    </row>
    <row r="575" spans="1:42" s="585" customFormat="1" ht="12.75" customHeight="1">
      <c r="B575" s="571"/>
      <c r="C575" s="970"/>
      <c r="D575" s="698"/>
      <c r="E575" s="874" t="s">
        <v>1964</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1965</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1967</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1966</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1568</v>
      </c>
      <c r="AP579" s="585">
        <v>4</v>
      </c>
    </row>
    <row r="580" spans="1:53" s="585" customFormat="1" ht="12.75" customHeight="1">
      <c r="B580" s="571"/>
      <c r="C580" s="968"/>
      <c r="D580" s="698" t="s">
        <v>280</v>
      </c>
      <c r="E580" s="874" t="s">
        <v>1968</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75" t="s">
        <v>1549</v>
      </c>
      <c r="AG580" s="1975"/>
      <c r="AH580" s="1975"/>
      <c r="AI580" s="1975"/>
      <c r="AJ580" s="1975"/>
      <c r="AK580" s="1975"/>
      <c r="AL580" s="1975"/>
      <c r="AN580" s="632"/>
      <c r="AO580" s="646" t="s">
        <v>1569</v>
      </c>
      <c r="AP580" s="585">
        <v>3</v>
      </c>
    </row>
    <row r="581" spans="1:53" s="585" customFormat="1" ht="12.75" customHeight="1">
      <c r="B581" s="571"/>
      <c r="C581" s="970"/>
      <c r="D581" s="698"/>
      <c r="E581" s="874" t="s">
        <v>1964</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1965</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1967</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1966</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1568</v>
      </c>
      <c r="E586" s="874" t="s">
        <v>1969</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75" t="s">
        <v>1570</v>
      </c>
      <c r="AG586" s="1975"/>
      <c r="AH586" s="1975"/>
      <c r="AI586" s="1975"/>
      <c r="AJ586" s="1975"/>
      <c r="AK586" s="1975"/>
      <c r="AL586" s="1975"/>
      <c r="AN586" s="632"/>
      <c r="AO586" s="585" t="str">
        <f>X623</f>
        <v>N/A</v>
      </c>
    </row>
    <row r="587" spans="1:53" s="585" customFormat="1" ht="12.75" customHeight="1">
      <c r="B587" s="571"/>
      <c r="C587" s="970"/>
      <c r="D587" s="698"/>
      <c r="E587" s="874" t="s">
        <v>1970</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1971</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2129</v>
      </c>
      <c r="O590" s="2013" t="s">
        <v>1326</v>
      </c>
      <c r="P590" s="2013"/>
      <c r="Q590" s="2013"/>
      <c r="R590" s="2013"/>
      <c r="S590" s="2013"/>
      <c r="T590" s="2013"/>
      <c r="U590" s="2013"/>
      <c r="V590" s="2013"/>
      <c r="W590" s="2013"/>
      <c r="X590" s="2013"/>
      <c r="Y590" s="2013"/>
      <c r="Z590" s="2013"/>
      <c r="AA590" s="2013"/>
      <c r="AB590" s="2013"/>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1569</v>
      </c>
      <c r="E592" s="874" t="s">
        <v>1973</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75" t="s">
        <v>1523</v>
      </c>
      <c r="AG592" s="1975"/>
      <c r="AH592" s="1975"/>
      <c r="AI592" s="1975"/>
      <c r="AJ592" s="1975"/>
      <c r="AK592" s="1975"/>
      <c r="AL592" s="1975"/>
      <c r="AN592" s="632"/>
    </row>
    <row r="593" spans="2:47" s="585" customFormat="1" ht="12.75" customHeight="1">
      <c r="B593" s="571"/>
      <c r="C593" s="968"/>
      <c r="D593" s="698"/>
      <c r="E593" s="874" t="s">
        <v>1972</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1571</v>
      </c>
      <c r="E595" s="973"/>
      <c r="F595" s="973"/>
      <c r="G595" s="973"/>
      <c r="H595" s="1919" t="s">
        <v>1569</v>
      </c>
      <c r="I595" s="1919"/>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1974</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1975</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1976</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1977</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1571</v>
      </c>
      <c r="F603" s="973"/>
      <c r="G603" s="973"/>
      <c r="I603" s="2012" t="s">
        <v>601</v>
      </c>
      <c r="J603" s="2012"/>
      <c r="K603" s="2012"/>
      <c r="L603" s="2012"/>
      <c r="M603" s="2012"/>
      <c r="N603" s="2012"/>
      <c r="O603" s="2012"/>
      <c r="P603" s="2012"/>
      <c r="Q603" s="2012"/>
      <c r="R603" s="2012"/>
      <c r="S603" s="2012"/>
      <c r="T603" s="2012"/>
      <c r="U603" s="2012"/>
      <c r="V603" s="2012"/>
      <c r="W603" s="2012"/>
      <c r="X603" s="2012"/>
      <c r="Y603" s="2012"/>
      <c r="Z603" s="2012"/>
      <c r="AA603" s="2012"/>
      <c r="AB603" s="2012"/>
      <c r="AC603" s="2012"/>
      <c r="AD603" s="2012"/>
      <c r="AE603" s="2012"/>
      <c r="AF603" s="571"/>
      <c r="AG603" s="571"/>
      <c r="AH603" s="571"/>
      <c r="AI603" s="571"/>
      <c r="AJ603" s="571"/>
      <c r="AK603" s="571"/>
      <c r="AL603" s="571"/>
      <c r="AN603" s="632"/>
      <c r="AO603" s="585" t="s">
        <v>1572</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1573</v>
      </c>
      <c r="AP604" s="585">
        <v>2</v>
      </c>
    </row>
    <row r="605" spans="2:47" s="585" customFormat="1" ht="12.75" customHeight="1">
      <c r="B605" s="2010" t="s">
        <v>555</v>
      </c>
      <c r="C605" s="2010"/>
      <c r="D605" s="677"/>
      <c r="E605" s="1895" t="s">
        <v>1574</v>
      </c>
      <c r="F605" s="1895"/>
      <c r="G605" s="1895"/>
      <c r="H605" s="1895"/>
      <c r="I605" s="1895"/>
      <c r="J605" s="1895"/>
      <c r="K605" s="1895"/>
      <c r="L605" s="1895"/>
      <c r="M605" s="1895"/>
      <c r="N605" s="1895"/>
      <c r="O605" s="1895"/>
      <c r="P605" s="1895"/>
      <c r="Q605" s="1895"/>
      <c r="R605" s="1895"/>
      <c r="S605" s="1895"/>
      <c r="T605" s="1895"/>
      <c r="U605" s="1895"/>
      <c r="V605" s="1895"/>
      <c r="W605" s="1895"/>
      <c r="X605" s="1895"/>
      <c r="Y605" s="1895"/>
      <c r="Z605" s="1895"/>
      <c r="AA605" s="1895"/>
      <c r="AB605" s="1895"/>
      <c r="AC605" s="1895"/>
      <c r="AD605" s="1895"/>
      <c r="AE605" s="1895"/>
      <c r="AF605" s="1895"/>
      <c r="AG605" s="1895"/>
      <c r="AH605" s="677"/>
      <c r="AI605" s="677"/>
      <c r="AJ605" s="677"/>
      <c r="AK605" s="677"/>
      <c r="AL605" s="677"/>
      <c r="AN605" s="632"/>
    </row>
    <row r="606" spans="2:47" s="585" customFormat="1" ht="12.75" customHeight="1">
      <c r="B606" s="571"/>
      <c r="C606" s="970"/>
      <c r="D606" s="677"/>
      <c r="E606" s="1895"/>
      <c r="F606" s="1895"/>
      <c r="G606" s="1895"/>
      <c r="H606" s="1895"/>
      <c r="I606" s="1895"/>
      <c r="J606" s="1895"/>
      <c r="K606" s="1895"/>
      <c r="L606" s="1895"/>
      <c r="M606" s="1895"/>
      <c r="N606" s="1895"/>
      <c r="O606" s="1895"/>
      <c r="P606" s="1895"/>
      <c r="Q606" s="1895"/>
      <c r="R606" s="1895"/>
      <c r="S606" s="1895"/>
      <c r="T606" s="1895"/>
      <c r="U606" s="1895"/>
      <c r="V606" s="1895"/>
      <c r="W606" s="1895"/>
      <c r="X606" s="1895"/>
      <c r="Y606" s="1895"/>
      <c r="Z606" s="1895"/>
      <c r="AA606" s="1895"/>
      <c r="AB606" s="1895"/>
      <c r="AC606" s="1895"/>
      <c r="AD606" s="1895"/>
      <c r="AE606" s="1895"/>
      <c r="AF606" s="1895"/>
      <c r="AG606" s="1895"/>
      <c r="AH606" s="677"/>
      <c r="AI606" s="677"/>
      <c r="AJ606" s="677"/>
      <c r="AK606" s="677"/>
      <c r="AL606" s="677"/>
      <c r="AN606" s="632"/>
    </row>
    <row r="607" spans="2:47" s="585" customFormat="1" ht="12.75" customHeight="1">
      <c r="B607" s="571"/>
      <c r="C607" s="970"/>
      <c r="D607" s="677"/>
      <c r="E607" s="1895"/>
      <c r="F607" s="1895"/>
      <c r="G607" s="1895"/>
      <c r="H607" s="1895"/>
      <c r="I607" s="1895"/>
      <c r="J607" s="1895"/>
      <c r="K607" s="1895"/>
      <c r="L607" s="1895"/>
      <c r="M607" s="1895"/>
      <c r="N607" s="1895"/>
      <c r="O607" s="1895"/>
      <c r="P607" s="1895"/>
      <c r="Q607" s="1895"/>
      <c r="R607" s="1895"/>
      <c r="S607" s="1895"/>
      <c r="T607" s="1895"/>
      <c r="U607" s="1895"/>
      <c r="V607" s="1895"/>
      <c r="W607" s="1895"/>
      <c r="X607" s="1895"/>
      <c r="Y607" s="1895"/>
      <c r="Z607" s="1895"/>
      <c r="AA607" s="1895"/>
      <c r="AB607" s="1895"/>
      <c r="AC607" s="1895"/>
      <c r="AD607" s="1895"/>
      <c r="AE607" s="1895"/>
      <c r="AF607" s="1895"/>
      <c r="AG607" s="1895"/>
      <c r="AH607" s="677"/>
      <c r="AI607" s="677"/>
      <c r="AJ607" s="677"/>
      <c r="AK607" s="677"/>
      <c r="AL607" s="677"/>
      <c r="AN607" s="632"/>
    </row>
    <row r="608" spans="2:47" s="585" customFormat="1" ht="12.75" customHeight="1">
      <c r="B608" s="571"/>
      <c r="C608" s="970"/>
      <c r="D608" s="677"/>
      <c r="E608" s="1895"/>
      <c r="F608" s="1895"/>
      <c r="G608" s="1895"/>
      <c r="H608" s="1895"/>
      <c r="I608" s="1895"/>
      <c r="J608" s="1895"/>
      <c r="K608" s="1895"/>
      <c r="L608" s="1895"/>
      <c r="M608" s="1895"/>
      <c r="N608" s="1895"/>
      <c r="O608" s="1895"/>
      <c r="P608" s="1895"/>
      <c r="Q608" s="1895"/>
      <c r="R608" s="1895"/>
      <c r="S608" s="1895"/>
      <c r="T608" s="1895"/>
      <c r="U608" s="1895"/>
      <c r="V608" s="1895"/>
      <c r="W608" s="1895"/>
      <c r="X608" s="1895"/>
      <c r="Y608" s="1895"/>
      <c r="Z608" s="1895"/>
      <c r="AA608" s="1895"/>
      <c r="AB608" s="1895"/>
      <c r="AC608" s="1895"/>
      <c r="AD608" s="1895"/>
      <c r="AE608" s="1895"/>
      <c r="AF608" s="1895"/>
      <c r="AG608" s="1895"/>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1575</v>
      </c>
      <c r="AJ610" s="1902">
        <f>VLOOKUP($H$595,$AO$575:$AP$580,2,FALSE)+VLOOKUP($I$603,$AO$602:$AP$604,2,FALSE)</f>
        <v>3</v>
      </c>
      <c r="AK610" s="1904"/>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1576</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11" t="s">
        <v>1953</v>
      </c>
      <c r="F614" s="2011"/>
      <c r="G614" s="2011"/>
      <c r="H614" s="2011"/>
      <c r="I614" s="2011"/>
      <c r="J614" s="2011"/>
      <c r="K614" s="2011"/>
      <c r="L614" s="2011"/>
      <c r="M614" s="2011"/>
      <c r="N614" s="2011"/>
      <c r="O614" s="2011"/>
      <c r="P614" s="2011"/>
      <c r="Q614" s="2011"/>
      <c r="R614" s="2011"/>
      <c r="S614" s="2011"/>
      <c r="T614" s="2011"/>
      <c r="U614" s="2011"/>
      <c r="V614" s="2011"/>
      <c r="W614" s="2011"/>
      <c r="X614" s="2011"/>
      <c r="Y614" s="2011"/>
      <c r="Z614" s="2011"/>
      <c r="AA614" s="2011"/>
      <c r="AB614" s="2011"/>
      <c r="AC614" s="2011"/>
      <c r="AD614" s="2011"/>
      <c r="AE614" s="574"/>
      <c r="AF614" s="1975" t="s">
        <v>1523</v>
      </c>
      <c r="AG614" s="1975"/>
      <c r="AH614" s="1975"/>
      <c r="AI614" s="1975"/>
      <c r="AJ614" s="1975"/>
      <c r="AK614" s="1975"/>
      <c r="AL614" s="1975"/>
      <c r="AM614" s="585"/>
      <c r="AN614" s="713"/>
    </row>
    <row r="615" spans="1:42" s="585" customFormat="1" ht="12.75" customHeight="1">
      <c r="A615" s="714"/>
      <c r="B615" s="571"/>
      <c r="C615" s="970"/>
      <c r="D615" s="698"/>
      <c r="E615" s="2011"/>
      <c r="F615" s="2011"/>
      <c r="G615" s="2011"/>
      <c r="H615" s="2011"/>
      <c r="I615" s="2011"/>
      <c r="J615" s="2011"/>
      <c r="K615" s="2011"/>
      <c r="L615" s="2011"/>
      <c r="M615" s="2011"/>
      <c r="N615" s="2011"/>
      <c r="O615" s="2011"/>
      <c r="P615" s="2011"/>
      <c r="Q615" s="2011"/>
      <c r="R615" s="2011"/>
      <c r="S615" s="2011"/>
      <c r="T615" s="2011"/>
      <c r="U615" s="2011"/>
      <c r="V615" s="2011"/>
      <c r="W615" s="2011"/>
      <c r="X615" s="2011"/>
      <c r="Y615" s="2011"/>
      <c r="Z615" s="2011"/>
      <c r="AA615" s="2011"/>
      <c r="AB615" s="2011"/>
      <c r="AC615" s="2011"/>
      <c r="AD615" s="2011"/>
      <c r="AE615" s="571"/>
      <c r="AF615" s="571"/>
      <c r="AG615" s="571"/>
      <c r="AH615" s="571"/>
      <c r="AI615" s="571"/>
      <c r="AJ615" s="571"/>
      <c r="AK615" s="571"/>
      <c r="AL615" s="571"/>
      <c r="AN615" s="632"/>
    </row>
    <row r="616" spans="1:42" s="585" customFormat="1" ht="12.75" customHeight="1">
      <c r="B616" s="571"/>
      <c r="C616" s="968"/>
      <c r="D616" s="698"/>
      <c r="E616" s="2011"/>
      <c r="F616" s="2011"/>
      <c r="G616" s="2011"/>
      <c r="H616" s="2011"/>
      <c r="I616" s="2011"/>
      <c r="J616" s="2011"/>
      <c r="K616" s="2011"/>
      <c r="L616" s="2011"/>
      <c r="M616" s="2011"/>
      <c r="N616" s="2011"/>
      <c r="O616" s="2011"/>
      <c r="P616" s="2011"/>
      <c r="Q616" s="2011"/>
      <c r="R616" s="2011"/>
      <c r="S616" s="2011"/>
      <c r="T616" s="2011"/>
      <c r="U616" s="2011"/>
      <c r="V616" s="2011"/>
      <c r="W616" s="2011"/>
      <c r="X616" s="2011"/>
      <c r="Y616" s="2011"/>
      <c r="Z616" s="2011"/>
      <c r="AA616" s="2011"/>
      <c r="AB616" s="2011"/>
      <c r="AC616" s="2011"/>
      <c r="AD616" s="2011"/>
      <c r="AE616" s="571"/>
      <c r="AF616" s="571"/>
      <c r="AG616" s="571"/>
      <c r="AH616" s="571"/>
      <c r="AI616" s="571"/>
      <c r="AJ616" s="571"/>
      <c r="AK616" s="571"/>
      <c r="AL616" s="571"/>
      <c r="AN616" s="632"/>
    </row>
    <row r="617" spans="1:42" s="585" customFormat="1" ht="12.75" customHeight="1">
      <c r="B617" s="571"/>
      <c r="C617" s="968"/>
      <c r="D617" s="698"/>
      <c r="E617" s="2011"/>
      <c r="F617" s="2011"/>
      <c r="G617" s="2011"/>
      <c r="H617" s="2011"/>
      <c r="I617" s="2011"/>
      <c r="J617" s="2011"/>
      <c r="K617" s="2011"/>
      <c r="L617" s="2011"/>
      <c r="M617" s="2011"/>
      <c r="N617" s="2011"/>
      <c r="O617" s="2011"/>
      <c r="P617" s="2011"/>
      <c r="Q617" s="2011"/>
      <c r="R617" s="2011"/>
      <c r="S617" s="2011"/>
      <c r="T617" s="2011"/>
      <c r="U617" s="2011"/>
      <c r="V617" s="2011"/>
      <c r="W617" s="2011"/>
      <c r="X617" s="2011"/>
      <c r="Y617" s="2011"/>
      <c r="Z617" s="2011"/>
      <c r="AA617" s="2011"/>
      <c r="AB617" s="2011"/>
      <c r="AC617" s="2011"/>
      <c r="AD617" s="2011"/>
      <c r="AE617" s="571"/>
      <c r="AF617" s="571"/>
      <c r="AG617" s="571"/>
      <c r="AH617" s="571"/>
      <c r="AI617" s="571"/>
      <c r="AJ617" s="571"/>
      <c r="AK617" s="571"/>
      <c r="AL617" s="571"/>
      <c r="AN617" s="632"/>
    </row>
    <row r="618" spans="1:42" s="585" customFormat="1" ht="12.75" customHeight="1">
      <c r="B618" s="571"/>
      <c r="C618" s="968"/>
      <c r="D618" s="698"/>
      <c r="E618" s="2011"/>
      <c r="F618" s="2011"/>
      <c r="G618" s="2011"/>
      <c r="H618" s="2011"/>
      <c r="I618" s="2011"/>
      <c r="J618" s="2011"/>
      <c r="K618" s="2011"/>
      <c r="L618" s="2011"/>
      <c r="M618" s="2011"/>
      <c r="N618" s="2011"/>
      <c r="O618" s="2011"/>
      <c r="P618" s="2011"/>
      <c r="Q618" s="2011"/>
      <c r="R618" s="2011"/>
      <c r="S618" s="2011"/>
      <c r="T618" s="2011"/>
      <c r="U618" s="2011"/>
      <c r="V618" s="2011"/>
      <c r="W618" s="2011"/>
      <c r="X618" s="2011"/>
      <c r="Y618" s="2011"/>
      <c r="Z618" s="2011"/>
      <c r="AA618" s="2011"/>
      <c r="AB618" s="2011"/>
      <c r="AC618" s="2011"/>
      <c r="AD618" s="2011"/>
      <c r="AE618" s="571"/>
      <c r="AF618" s="571"/>
      <c r="AG618" s="571"/>
      <c r="AH618" s="571"/>
      <c r="AI618" s="571"/>
      <c r="AJ618" s="571"/>
      <c r="AK618" s="571"/>
      <c r="AL618" s="571"/>
      <c r="AN618" s="632"/>
    </row>
    <row r="619" spans="1:42" s="585" customFormat="1" ht="12.75" customHeight="1">
      <c r="B619" s="571"/>
      <c r="C619" s="968"/>
      <c r="D619" s="698"/>
      <c r="E619" s="2011"/>
      <c r="F619" s="2011"/>
      <c r="G619" s="2011"/>
      <c r="H619" s="2011"/>
      <c r="I619" s="2011"/>
      <c r="J619" s="2011"/>
      <c r="K619" s="2011"/>
      <c r="L619" s="2011"/>
      <c r="M619" s="2011"/>
      <c r="N619" s="2011"/>
      <c r="O619" s="2011"/>
      <c r="P619" s="2011"/>
      <c r="Q619" s="2011"/>
      <c r="R619" s="2011"/>
      <c r="S619" s="2011"/>
      <c r="T619" s="2011"/>
      <c r="U619" s="2011"/>
      <c r="V619" s="2011"/>
      <c r="W619" s="2011"/>
      <c r="X619" s="2011"/>
      <c r="Y619" s="2011"/>
      <c r="Z619" s="2011"/>
      <c r="AA619" s="2011"/>
      <c r="AB619" s="2011"/>
      <c r="AC619" s="2011"/>
      <c r="AD619" s="2011"/>
      <c r="AE619" s="571"/>
      <c r="AF619" s="571"/>
      <c r="AG619" s="571"/>
      <c r="AH619" s="571"/>
      <c r="AI619" s="571"/>
      <c r="AJ619" s="571"/>
      <c r="AK619" s="571"/>
      <c r="AL619" s="571"/>
      <c r="AN619" s="632"/>
    </row>
    <row r="620" spans="1:42" s="585" customFormat="1" ht="12.75" customHeight="1">
      <c r="A620" s="672"/>
      <c r="B620" s="651"/>
      <c r="C620" s="977"/>
      <c r="D620" s="698"/>
      <c r="E620" s="2011"/>
      <c r="F620" s="2011"/>
      <c r="G620" s="2011"/>
      <c r="H620" s="2011"/>
      <c r="I620" s="2011"/>
      <c r="J620" s="2011"/>
      <c r="K620" s="2011"/>
      <c r="L620" s="2011"/>
      <c r="M620" s="2011"/>
      <c r="N620" s="2011"/>
      <c r="O620" s="2011"/>
      <c r="P620" s="2011"/>
      <c r="Q620" s="2011"/>
      <c r="R620" s="2011"/>
      <c r="S620" s="2011"/>
      <c r="T620" s="2011"/>
      <c r="U620" s="2011"/>
      <c r="V620" s="2011"/>
      <c r="W620" s="2011"/>
      <c r="X620" s="2011"/>
      <c r="Y620" s="2011"/>
      <c r="Z620" s="2011"/>
      <c r="AA620" s="2011"/>
      <c r="AB620" s="2011"/>
      <c r="AC620" s="2011"/>
      <c r="AD620" s="2011"/>
      <c r="AE620" s="651"/>
      <c r="AF620" s="651"/>
      <c r="AG620" s="651"/>
      <c r="AH620" s="651"/>
      <c r="AI620" s="651"/>
      <c r="AJ620" s="651"/>
      <c r="AK620" s="571"/>
      <c r="AL620" s="571"/>
      <c r="AN620" s="632"/>
    </row>
    <row r="621" spans="1:42" s="585" customFormat="1" ht="12.75" customHeight="1">
      <c r="B621" s="651"/>
      <c r="C621" s="977"/>
      <c r="D621" s="698"/>
      <c r="E621" s="2011"/>
      <c r="F621" s="2011"/>
      <c r="G621" s="2011"/>
      <c r="H621" s="2011"/>
      <c r="I621" s="2011"/>
      <c r="J621" s="2011"/>
      <c r="K621" s="2011"/>
      <c r="L621" s="2011"/>
      <c r="M621" s="2011"/>
      <c r="N621" s="2011"/>
      <c r="O621" s="2011"/>
      <c r="P621" s="2011"/>
      <c r="Q621" s="2011"/>
      <c r="R621" s="2011"/>
      <c r="S621" s="2011"/>
      <c r="T621" s="2011"/>
      <c r="U621" s="2011"/>
      <c r="V621" s="2011"/>
      <c r="W621" s="2011"/>
      <c r="X621" s="2011"/>
      <c r="Y621" s="2011"/>
      <c r="Z621" s="2011"/>
      <c r="AA621" s="2011"/>
      <c r="AB621" s="2011"/>
      <c r="AC621" s="2011"/>
      <c r="AD621" s="2011"/>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1577</v>
      </c>
      <c r="F623" s="978"/>
      <c r="G623" s="978"/>
      <c r="H623" s="978"/>
      <c r="I623" s="978"/>
      <c r="J623" s="978"/>
      <c r="K623" s="978"/>
      <c r="L623" s="978"/>
      <c r="M623" s="978"/>
      <c r="N623" s="978"/>
      <c r="O623" s="978"/>
      <c r="P623" s="978"/>
      <c r="Q623" s="978"/>
      <c r="R623" s="978"/>
      <c r="U623" s="978"/>
      <c r="V623" s="978"/>
      <c r="W623" s="978"/>
      <c r="X623" s="2010" t="s">
        <v>601</v>
      </c>
      <c r="Y623" s="2010"/>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1578</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75" t="s">
        <v>1579</v>
      </c>
      <c r="AG625" s="1975"/>
      <c r="AH625" s="1975"/>
      <c r="AI625" s="1975"/>
      <c r="AJ625" s="1975"/>
      <c r="AK625" s="1975"/>
      <c r="AL625" s="1975"/>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1568</v>
      </c>
      <c r="AP626" s="715">
        <v>4</v>
      </c>
    </row>
    <row r="627" spans="1:42" s="585" customFormat="1" ht="12.75" customHeight="1">
      <c r="B627" s="571"/>
      <c r="C627" s="968"/>
      <c r="D627" s="571" t="s">
        <v>1571</v>
      </c>
      <c r="E627" s="973"/>
      <c r="F627" s="973"/>
      <c r="G627" s="973"/>
      <c r="H627" s="1919" t="s">
        <v>519</v>
      </c>
      <c r="I627" s="1919"/>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1569</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1580</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1581</v>
      </c>
      <c r="AJ629" s="1902">
        <f>VLOOKUP($H$627,$AO$594:$AP$596,2,FALSE)</f>
        <v>2</v>
      </c>
      <c r="AK629" s="1904"/>
      <c r="AL629" s="630"/>
      <c r="AN629" s="632"/>
      <c r="AO629" s="646" t="s">
        <v>1582</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1583</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895" t="s">
        <v>2517</v>
      </c>
      <c r="F633" s="1895"/>
      <c r="G633" s="1895"/>
      <c r="H633" s="1895"/>
      <c r="I633" s="1895"/>
      <c r="J633" s="1895"/>
      <c r="K633" s="1895"/>
      <c r="L633" s="1895"/>
      <c r="M633" s="1895"/>
      <c r="N633" s="1895"/>
      <c r="O633" s="1895"/>
      <c r="P633" s="1895"/>
      <c r="Q633" s="1895"/>
      <c r="R633" s="1895"/>
      <c r="S633" s="1895"/>
      <c r="T633" s="1895"/>
      <c r="U633" s="1895"/>
      <c r="V633" s="1895"/>
      <c r="W633" s="1895"/>
      <c r="X633" s="1895"/>
      <c r="Y633" s="1895"/>
      <c r="Z633" s="1895"/>
      <c r="AA633" s="1895"/>
      <c r="AB633" s="1895"/>
      <c r="AC633" s="1895"/>
      <c r="AD633" s="1895"/>
      <c r="AE633" s="571"/>
      <c r="AF633" s="1975" t="s">
        <v>1523</v>
      </c>
      <c r="AG633" s="1975"/>
      <c r="AH633" s="1975"/>
      <c r="AI633" s="1975"/>
      <c r="AJ633" s="1975"/>
      <c r="AK633" s="1975"/>
      <c r="AL633" s="1975"/>
      <c r="AN633" s="632"/>
    </row>
    <row r="634" spans="1:42" s="585" customFormat="1" ht="12.75" customHeight="1">
      <c r="B634" s="571"/>
      <c r="C634" s="571"/>
      <c r="D634" s="698"/>
      <c r="E634" s="1895"/>
      <c r="F634" s="1895"/>
      <c r="G634" s="1895"/>
      <c r="H634" s="1895"/>
      <c r="I634" s="1895"/>
      <c r="J634" s="1895"/>
      <c r="K634" s="1895"/>
      <c r="L634" s="1895"/>
      <c r="M634" s="1895"/>
      <c r="N634" s="1895"/>
      <c r="O634" s="1895"/>
      <c r="P634" s="1895"/>
      <c r="Q634" s="1895"/>
      <c r="R634" s="1895"/>
      <c r="S634" s="1895"/>
      <c r="T634" s="1895"/>
      <c r="U634" s="1895"/>
      <c r="V634" s="1895"/>
      <c r="W634" s="1895"/>
      <c r="X634" s="1895"/>
      <c r="Y634" s="1895"/>
      <c r="Z634" s="1895"/>
      <c r="AA634" s="1895"/>
      <c r="AB634" s="1895"/>
      <c r="AC634" s="1895"/>
      <c r="AD634" s="1895"/>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1584</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75" t="s">
        <v>1579</v>
      </c>
      <c r="AG636" s="1975"/>
      <c r="AH636" s="1975"/>
      <c r="AI636" s="1975"/>
      <c r="AJ636" s="1975"/>
      <c r="AK636" s="1975"/>
      <c r="AL636" s="1975"/>
      <c r="AN636" s="632"/>
    </row>
    <row r="637" spans="1:42" s="585" customFormat="1" ht="12.75" customHeight="1">
      <c r="B637" s="571"/>
      <c r="C637" s="968"/>
      <c r="D637" s="698"/>
      <c r="E637" s="651" t="s">
        <v>1585</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1571</v>
      </c>
      <c r="E639" s="973"/>
      <c r="F639" s="973"/>
      <c r="G639" s="973"/>
      <c r="H639" s="1919" t="s">
        <v>601</v>
      </c>
      <c r="I639" s="1919"/>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1586</v>
      </c>
      <c r="AJ641" s="1902">
        <f>VLOOKUP(H639,AT594:AU596,2,FALSE)</f>
        <v>0</v>
      </c>
      <c r="AK641" s="1904"/>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1587</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1588</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895" t="s">
        <v>1589</v>
      </c>
      <c r="F646" s="1895"/>
      <c r="G646" s="1895"/>
      <c r="H646" s="1895"/>
      <c r="I646" s="1895"/>
      <c r="J646" s="1895"/>
      <c r="K646" s="1895"/>
      <c r="L646" s="1895"/>
      <c r="M646" s="1895"/>
      <c r="N646" s="1895"/>
      <c r="O646" s="1895"/>
      <c r="P646" s="1895"/>
      <c r="Q646" s="1895"/>
      <c r="R646" s="1895"/>
      <c r="S646" s="1895"/>
      <c r="T646" s="1895"/>
      <c r="U646" s="1895"/>
      <c r="V646" s="1895"/>
      <c r="W646" s="1895"/>
      <c r="X646" s="1895"/>
      <c r="Y646" s="1895"/>
      <c r="Z646" s="1895"/>
      <c r="AA646" s="1895"/>
      <c r="AB646" s="1895"/>
      <c r="AC646" s="1895"/>
      <c r="AD646" s="571"/>
      <c r="AE646" s="571"/>
      <c r="AF646" s="1975" t="s">
        <v>1549</v>
      </c>
      <c r="AG646" s="1975"/>
      <c r="AH646" s="1975"/>
      <c r="AI646" s="1975"/>
      <c r="AJ646" s="1975"/>
      <c r="AK646" s="1975"/>
      <c r="AL646" s="1975"/>
      <c r="AN646" s="632"/>
    </row>
    <row r="647" spans="1:42" s="585" customFormat="1" ht="12.75" customHeight="1">
      <c r="B647" s="571"/>
      <c r="C647" s="574"/>
      <c r="D647" s="571"/>
      <c r="E647" s="1895"/>
      <c r="F647" s="1895"/>
      <c r="G647" s="1895"/>
      <c r="H647" s="1895"/>
      <c r="I647" s="1895"/>
      <c r="J647" s="1895"/>
      <c r="K647" s="1895"/>
      <c r="L647" s="1895"/>
      <c r="M647" s="1895"/>
      <c r="N647" s="1895"/>
      <c r="O647" s="1895"/>
      <c r="P647" s="1895"/>
      <c r="Q647" s="1895"/>
      <c r="R647" s="1895"/>
      <c r="S647" s="1895"/>
      <c r="T647" s="1895"/>
      <c r="U647" s="1895"/>
      <c r="V647" s="1895"/>
      <c r="W647" s="1895"/>
      <c r="X647" s="1895"/>
      <c r="Y647" s="1895"/>
      <c r="Z647" s="1895"/>
      <c r="AA647" s="1895"/>
      <c r="AB647" s="1895"/>
      <c r="AC647" s="1895"/>
      <c r="AD647" s="571"/>
      <c r="AE647" s="571"/>
      <c r="AF647" s="571"/>
      <c r="AG647" s="571"/>
      <c r="AH647" s="571"/>
      <c r="AI647" s="571"/>
      <c r="AJ647" s="571"/>
      <c r="AK647" s="571"/>
      <c r="AL647" s="571"/>
      <c r="AN647" s="632"/>
    </row>
    <row r="648" spans="1:42" s="585" customFormat="1" ht="12.75" customHeight="1">
      <c r="B648" s="571"/>
      <c r="C648" s="574"/>
      <c r="D648" s="698"/>
      <c r="E648" s="1895"/>
      <c r="F648" s="1895"/>
      <c r="G648" s="1895"/>
      <c r="H648" s="1895"/>
      <c r="I648" s="1895"/>
      <c r="J648" s="1895"/>
      <c r="K648" s="1895"/>
      <c r="L648" s="1895"/>
      <c r="M648" s="1895"/>
      <c r="N648" s="1895"/>
      <c r="O648" s="1895"/>
      <c r="P648" s="1895"/>
      <c r="Q648" s="1895"/>
      <c r="R648" s="1895"/>
      <c r="S648" s="1895"/>
      <c r="T648" s="1895"/>
      <c r="U648" s="1895"/>
      <c r="V648" s="1895"/>
      <c r="W648" s="1895"/>
      <c r="X648" s="1895"/>
      <c r="Y648" s="1895"/>
      <c r="Z648" s="1895"/>
      <c r="AA648" s="1895"/>
      <c r="AB648" s="1895"/>
      <c r="AC648" s="1895"/>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895" t="s">
        <v>1590</v>
      </c>
      <c r="F650" s="1895"/>
      <c r="G650" s="1895"/>
      <c r="H650" s="1895"/>
      <c r="I650" s="1895"/>
      <c r="J650" s="1895"/>
      <c r="K650" s="1895"/>
      <c r="L650" s="1895"/>
      <c r="M650" s="1895"/>
      <c r="N650" s="1895"/>
      <c r="O650" s="1895"/>
      <c r="P650" s="1895"/>
      <c r="Q650" s="1895"/>
      <c r="R650" s="1895"/>
      <c r="S650" s="1895"/>
      <c r="T650" s="1895"/>
      <c r="U650" s="1895"/>
      <c r="V650" s="1895"/>
      <c r="W650" s="1895"/>
      <c r="X650" s="1895"/>
      <c r="Y650" s="1895"/>
      <c r="Z650" s="1895"/>
      <c r="AA650" s="1895"/>
      <c r="AB650" s="1895"/>
      <c r="AC650" s="1895"/>
      <c r="AD650" s="571"/>
      <c r="AE650" s="571"/>
      <c r="AF650" s="1975" t="s">
        <v>1570</v>
      </c>
      <c r="AG650" s="1975"/>
      <c r="AH650" s="1975"/>
      <c r="AI650" s="1975"/>
      <c r="AJ650" s="1975"/>
      <c r="AK650" s="1975"/>
      <c r="AL650" s="1975"/>
      <c r="AN650" s="632"/>
    </row>
    <row r="651" spans="1:42" s="585" customFormat="1" ht="12.75" customHeight="1">
      <c r="B651" s="571"/>
      <c r="C651" s="574"/>
      <c r="D651" s="571"/>
      <c r="E651" s="1895"/>
      <c r="F651" s="1895"/>
      <c r="G651" s="1895"/>
      <c r="H651" s="1895"/>
      <c r="I651" s="1895"/>
      <c r="J651" s="1895"/>
      <c r="K651" s="1895"/>
      <c r="L651" s="1895"/>
      <c r="M651" s="1895"/>
      <c r="N651" s="1895"/>
      <c r="O651" s="1895"/>
      <c r="P651" s="1895"/>
      <c r="Q651" s="1895"/>
      <c r="R651" s="1895"/>
      <c r="S651" s="1895"/>
      <c r="T651" s="1895"/>
      <c r="U651" s="1895"/>
      <c r="V651" s="1895"/>
      <c r="W651" s="1895"/>
      <c r="X651" s="1895"/>
      <c r="Y651" s="1895"/>
      <c r="Z651" s="1895"/>
      <c r="AA651" s="1895"/>
      <c r="AB651" s="1895"/>
      <c r="AC651" s="1895"/>
      <c r="AD651" s="571"/>
      <c r="AE651" s="571"/>
      <c r="AF651" s="571"/>
      <c r="AG651" s="571"/>
      <c r="AH651" s="571"/>
      <c r="AI651" s="571"/>
      <c r="AJ651" s="571"/>
      <c r="AK651" s="571"/>
      <c r="AL651" s="571"/>
      <c r="AN651" s="632"/>
    </row>
    <row r="652" spans="1:42" s="585" customFormat="1" ht="15" customHeight="1">
      <c r="B652" s="571"/>
      <c r="C652" s="574"/>
      <c r="D652" s="698"/>
      <c r="E652" s="1895"/>
      <c r="F652" s="1895"/>
      <c r="G652" s="1895"/>
      <c r="H652" s="1895"/>
      <c r="I652" s="1895"/>
      <c r="J652" s="1895"/>
      <c r="K652" s="1895"/>
      <c r="L652" s="1895"/>
      <c r="M652" s="1895"/>
      <c r="N652" s="1895"/>
      <c r="O652" s="1895"/>
      <c r="P652" s="1895"/>
      <c r="Q652" s="1895"/>
      <c r="R652" s="1895"/>
      <c r="S652" s="1895"/>
      <c r="T652" s="1895"/>
      <c r="U652" s="1895"/>
      <c r="V652" s="1895"/>
      <c r="W652" s="1895"/>
      <c r="X652" s="1895"/>
      <c r="Y652" s="1895"/>
      <c r="Z652" s="1895"/>
      <c r="AA652" s="1895"/>
      <c r="AB652" s="1895"/>
      <c r="AC652" s="1895"/>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895" t="s">
        <v>1591</v>
      </c>
      <c r="F654" s="1895"/>
      <c r="G654" s="1895"/>
      <c r="H654" s="1895"/>
      <c r="I654" s="1895"/>
      <c r="J654" s="1895"/>
      <c r="K654" s="1895"/>
      <c r="L654" s="1895"/>
      <c r="M654" s="1895"/>
      <c r="N654" s="1895"/>
      <c r="O654" s="1895"/>
      <c r="P654" s="1895"/>
      <c r="Q654" s="1895"/>
      <c r="R654" s="1895"/>
      <c r="S654" s="1895"/>
      <c r="T654" s="1895"/>
      <c r="U654" s="1895"/>
      <c r="V654" s="1895"/>
      <c r="W654" s="1895"/>
      <c r="X654" s="1895"/>
      <c r="Y654" s="1895"/>
      <c r="Z654" s="1895"/>
      <c r="AA654" s="1895"/>
      <c r="AB654" s="1895"/>
      <c r="AC654" s="1895"/>
      <c r="AD654" s="571"/>
      <c r="AE654" s="571"/>
      <c r="AF654" s="1975" t="s">
        <v>1523</v>
      </c>
      <c r="AG654" s="1975"/>
      <c r="AH654" s="1975"/>
      <c r="AI654" s="1975"/>
      <c r="AJ654" s="1975"/>
      <c r="AK654" s="1975"/>
      <c r="AL654" s="1975"/>
      <c r="AN654" s="632"/>
    </row>
    <row r="655" spans="1:42" s="585" customFormat="1" ht="12.75" customHeight="1">
      <c r="B655" s="571"/>
      <c r="C655" s="968"/>
      <c r="D655" s="571"/>
      <c r="E655" s="1895"/>
      <c r="F655" s="1895"/>
      <c r="G655" s="1895"/>
      <c r="H655" s="1895"/>
      <c r="I655" s="1895"/>
      <c r="J655" s="1895"/>
      <c r="K655" s="1895"/>
      <c r="L655" s="1895"/>
      <c r="M655" s="1895"/>
      <c r="N655" s="1895"/>
      <c r="O655" s="1895"/>
      <c r="P655" s="1895"/>
      <c r="Q655" s="1895"/>
      <c r="R655" s="1895"/>
      <c r="S655" s="1895"/>
      <c r="T655" s="1895"/>
      <c r="U655" s="1895"/>
      <c r="V655" s="1895"/>
      <c r="W655" s="1895"/>
      <c r="X655" s="1895"/>
      <c r="Y655" s="1895"/>
      <c r="Z655" s="1895"/>
      <c r="AA655" s="1895"/>
      <c r="AB655" s="1895"/>
      <c r="AC655" s="1895"/>
      <c r="AD655" s="571"/>
      <c r="AE655" s="1975"/>
      <c r="AF655" s="1975"/>
      <c r="AG655" s="1975"/>
      <c r="AH655" s="1975"/>
      <c r="AI655" s="1975"/>
      <c r="AJ655" s="1975"/>
      <c r="AK655" s="1975"/>
      <c r="AL655" s="629"/>
      <c r="AN655" s="632"/>
      <c r="AO655" s="585" t="s">
        <v>601</v>
      </c>
      <c r="AP655" s="708">
        <v>0</v>
      </c>
    </row>
    <row r="656" spans="1:42" s="585" customFormat="1" ht="12.75" customHeight="1">
      <c r="A656" s="714"/>
      <c r="B656" s="571"/>
      <c r="C656" s="571"/>
      <c r="D656" s="698"/>
      <c r="E656" s="1895"/>
      <c r="F656" s="1895"/>
      <c r="G656" s="1895"/>
      <c r="H656" s="1895"/>
      <c r="I656" s="1895"/>
      <c r="J656" s="1895"/>
      <c r="K656" s="1895"/>
      <c r="L656" s="1895"/>
      <c r="M656" s="1895"/>
      <c r="N656" s="1895"/>
      <c r="O656" s="1895"/>
      <c r="P656" s="1895"/>
      <c r="Q656" s="1895"/>
      <c r="R656" s="1895"/>
      <c r="S656" s="1895"/>
      <c r="T656" s="1895"/>
      <c r="U656" s="1895"/>
      <c r="V656" s="1895"/>
      <c r="W656" s="1895"/>
      <c r="X656" s="1895"/>
      <c r="Y656" s="1895"/>
      <c r="Z656" s="1895"/>
      <c r="AA656" s="1895"/>
      <c r="AB656" s="1895"/>
      <c r="AC656" s="1895"/>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1568</v>
      </c>
      <c r="E658" s="1895" t="s">
        <v>1592</v>
      </c>
      <c r="F658" s="1895"/>
      <c r="G658" s="1895"/>
      <c r="H658" s="1895"/>
      <c r="I658" s="1895"/>
      <c r="J658" s="1895"/>
      <c r="K658" s="1895"/>
      <c r="L658" s="1895"/>
      <c r="M658" s="1895"/>
      <c r="N658" s="1895"/>
      <c r="O658" s="1895"/>
      <c r="P658" s="1895"/>
      <c r="Q658" s="1895"/>
      <c r="R658" s="1895"/>
      <c r="S658" s="1895"/>
      <c r="T658" s="1895"/>
      <c r="U658" s="1895"/>
      <c r="V658" s="1895"/>
      <c r="W658" s="1895"/>
      <c r="X658" s="1895"/>
      <c r="Y658" s="1895"/>
      <c r="Z658" s="1895"/>
      <c r="AA658" s="1895"/>
      <c r="AB658" s="1895"/>
      <c r="AC658" s="1895"/>
      <c r="AD658" s="571"/>
      <c r="AE658" s="571"/>
      <c r="AF658" s="1975" t="s">
        <v>1570</v>
      </c>
      <c r="AG658" s="1975"/>
      <c r="AH658" s="1975"/>
      <c r="AI658" s="1975"/>
      <c r="AJ658" s="1975"/>
      <c r="AK658" s="1975"/>
      <c r="AL658" s="1975"/>
      <c r="AN658" s="632"/>
    </row>
    <row r="659" spans="1:42" s="585" customFormat="1" ht="12.75" customHeight="1">
      <c r="A659" s="705"/>
      <c r="B659" s="571"/>
      <c r="C659" s="984"/>
      <c r="D659" s="698"/>
      <c r="E659" s="1895"/>
      <c r="F659" s="1895"/>
      <c r="G659" s="1895"/>
      <c r="H659" s="1895"/>
      <c r="I659" s="1895"/>
      <c r="J659" s="1895"/>
      <c r="K659" s="1895"/>
      <c r="L659" s="1895"/>
      <c r="M659" s="1895"/>
      <c r="N659" s="1895"/>
      <c r="O659" s="1895"/>
      <c r="P659" s="1895"/>
      <c r="Q659" s="1895"/>
      <c r="R659" s="1895"/>
      <c r="S659" s="1895"/>
      <c r="T659" s="1895"/>
      <c r="U659" s="1895"/>
      <c r="V659" s="1895"/>
      <c r="W659" s="1895"/>
      <c r="X659" s="1895"/>
      <c r="Y659" s="1895"/>
      <c r="Z659" s="1895"/>
      <c r="AA659" s="1895"/>
      <c r="AB659" s="1895"/>
      <c r="AC659" s="1895"/>
      <c r="AD659" s="571"/>
      <c r="AE659" s="629"/>
      <c r="AF659" s="629"/>
      <c r="AG659" s="629"/>
      <c r="AH659" s="629"/>
      <c r="AI659" s="629"/>
      <c r="AJ659" s="629"/>
      <c r="AK659" s="629"/>
      <c r="AL659" s="629"/>
      <c r="AM659" s="631"/>
      <c r="AN659" s="632"/>
    </row>
    <row r="660" spans="1:42" s="585" customFormat="1" ht="12.75" customHeight="1">
      <c r="A660" s="705"/>
      <c r="B660" s="571"/>
      <c r="C660" s="984"/>
      <c r="D660" s="698"/>
      <c r="E660" s="1895"/>
      <c r="F660" s="1895"/>
      <c r="G660" s="1895"/>
      <c r="H660" s="1895"/>
      <c r="I660" s="1895"/>
      <c r="J660" s="1895"/>
      <c r="K660" s="1895"/>
      <c r="L660" s="1895"/>
      <c r="M660" s="1895"/>
      <c r="N660" s="1895"/>
      <c r="O660" s="1895"/>
      <c r="P660" s="1895"/>
      <c r="Q660" s="1895"/>
      <c r="R660" s="1895"/>
      <c r="S660" s="1895"/>
      <c r="T660" s="1895"/>
      <c r="U660" s="1895"/>
      <c r="V660" s="1895"/>
      <c r="W660" s="1895"/>
      <c r="X660" s="1895"/>
      <c r="Y660" s="1895"/>
      <c r="Z660" s="1895"/>
      <c r="AA660" s="1895"/>
      <c r="AB660" s="1895"/>
      <c r="AC660" s="1895"/>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1569</v>
      </c>
      <c r="E662" s="1895" t="s">
        <v>1593</v>
      </c>
      <c r="F662" s="1895"/>
      <c r="G662" s="1895"/>
      <c r="H662" s="1895"/>
      <c r="I662" s="1895"/>
      <c r="J662" s="1895"/>
      <c r="K662" s="1895"/>
      <c r="L662" s="1895"/>
      <c r="M662" s="1895"/>
      <c r="N662" s="1895"/>
      <c r="O662" s="1895"/>
      <c r="P662" s="1895"/>
      <c r="Q662" s="1895"/>
      <c r="R662" s="1895"/>
      <c r="S662" s="1895"/>
      <c r="T662" s="1895"/>
      <c r="U662" s="1895"/>
      <c r="V662" s="1895"/>
      <c r="W662" s="1895"/>
      <c r="X662" s="1895"/>
      <c r="Y662" s="1895"/>
      <c r="Z662" s="1895"/>
      <c r="AA662" s="1895"/>
      <c r="AB662" s="1895"/>
      <c r="AC662" s="1895"/>
      <c r="AD662" s="571"/>
      <c r="AE662" s="571"/>
      <c r="AF662" s="1975" t="s">
        <v>1523</v>
      </c>
      <c r="AG662" s="1975"/>
      <c r="AH662" s="1975"/>
      <c r="AI662" s="1975"/>
      <c r="AJ662" s="1975"/>
      <c r="AK662" s="1975"/>
      <c r="AL662" s="1975"/>
      <c r="AM662" s="631"/>
      <c r="AN662" s="632"/>
    </row>
    <row r="663" spans="1:42" s="585" customFormat="1" ht="12.75" customHeight="1">
      <c r="B663" s="571"/>
      <c r="C663" s="968"/>
      <c r="D663" s="698"/>
      <c r="E663" s="1895"/>
      <c r="F663" s="1895"/>
      <c r="G663" s="1895"/>
      <c r="H663" s="1895"/>
      <c r="I663" s="1895"/>
      <c r="J663" s="1895"/>
      <c r="K663" s="1895"/>
      <c r="L663" s="1895"/>
      <c r="M663" s="1895"/>
      <c r="N663" s="1895"/>
      <c r="O663" s="1895"/>
      <c r="P663" s="1895"/>
      <c r="Q663" s="1895"/>
      <c r="R663" s="1895"/>
      <c r="S663" s="1895"/>
      <c r="T663" s="1895"/>
      <c r="U663" s="1895"/>
      <c r="V663" s="1895"/>
      <c r="W663" s="1895"/>
      <c r="X663" s="1895"/>
      <c r="Y663" s="1895"/>
      <c r="Z663" s="1895"/>
      <c r="AA663" s="1895"/>
      <c r="AB663" s="1895"/>
      <c r="AC663" s="1895"/>
      <c r="AD663" s="571"/>
      <c r="AE663" s="571"/>
      <c r="AF663" s="571"/>
      <c r="AG663" s="571"/>
      <c r="AH663" s="571"/>
      <c r="AI663" s="571"/>
      <c r="AJ663" s="571"/>
      <c r="AK663" s="571"/>
      <c r="AL663" s="571"/>
      <c r="AM663" s="631"/>
      <c r="AN663" s="632"/>
    </row>
    <row r="664" spans="1:42" s="585" customFormat="1" ht="12.75" customHeight="1">
      <c r="B664" s="571"/>
      <c r="C664" s="968"/>
      <c r="D664" s="698"/>
      <c r="E664" s="1895"/>
      <c r="F664" s="1895"/>
      <c r="G664" s="1895"/>
      <c r="H664" s="1895"/>
      <c r="I664" s="1895"/>
      <c r="J664" s="1895"/>
      <c r="K664" s="1895"/>
      <c r="L664" s="1895"/>
      <c r="M664" s="1895"/>
      <c r="N664" s="1895"/>
      <c r="O664" s="1895"/>
      <c r="P664" s="1895"/>
      <c r="Q664" s="1895"/>
      <c r="R664" s="1895"/>
      <c r="S664" s="1895"/>
      <c r="T664" s="1895"/>
      <c r="U664" s="1895"/>
      <c r="V664" s="1895"/>
      <c r="W664" s="1895"/>
      <c r="X664" s="1895"/>
      <c r="Y664" s="1895"/>
      <c r="Z664" s="1895"/>
      <c r="AA664" s="1895"/>
      <c r="AB664" s="1895"/>
      <c r="AC664" s="1895"/>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1580</v>
      </c>
      <c r="E666" s="1895" t="s">
        <v>1594</v>
      </c>
      <c r="F666" s="1895"/>
      <c r="G666" s="1895"/>
      <c r="H666" s="1895"/>
      <c r="I666" s="1895"/>
      <c r="J666" s="1895"/>
      <c r="K666" s="1895"/>
      <c r="L666" s="1895"/>
      <c r="M666" s="1895"/>
      <c r="N666" s="1895"/>
      <c r="O666" s="1895"/>
      <c r="P666" s="1895"/>
      <c r="Q666" s="1895"/>
      <c r="R666" s="1895"/>
      <c r="S666" s="1895"/>
      <c r="T666" s="1895"/>
      <c r="U666" s="1895"/>
      <c r="V666" s="1895"/>
      <c r="W666" s="1895"/>
      <c r="X666" s="1895"/>
      <c r="Y666" s="1895"/>
      <c r="Z666" s="1895"/>
      <c r="AA666" s="1895"/>
      <c r="AB666" s="1895"/>
      <c r="AC666" s="1895"/>
      <c r="AD666" s="571"/>
      <c r="AE666" s="571"/>
      <c r="AF666" s="1975" t="s">
        <v>1579</v>
      </c>
      <c r="AG666" s="1975"/>
      <c r="AH666" s="1975"/>
      <c r="AI666" s="1975"/>
      <c r="AJ666" s="1975"/>
      <c r="AK666" s="1975"/>
      <c r="AL666" s="1975"/>
      <c r="AM666" s="631"/>
      <c r="AN666" s="632"/>
    </row>
    <row r="667" spans="1:42" s="585" customFormat="1" ht="12.75" customHeight="1">
      <c r="A667" s="714"/>
      <c r="B667" s="571"/>
      <c r="C667" s="968"/>
      <c r="D667" s="698"/>
      <c r="E667" s="1895"/>
      <c r="F667" s="1895"/>
      <c r="G667" s="1895"/>
      <c r="H667" s="1895"/>
      <c r="I667" s="1895"/>
      <c r="J667" s="1895"/>
      <c r="K667" s="1895"/>
      <c r="L667" s="1895"/>
      <c r="M667" s="1895"/>
      <c r="N667" s="1895"/>
      <c r="O667" s="1895"/>
      <c r="P667" s="1895"/>
      <c r="Q667" s="1895"/>
      <c r="R667" s="1895"/>
      <c r="S667" s="1895"/>
      <c r="T667" s="1895"/>
      <c r="U667" s="1895"/>
      <c r="V667" s="1895"/>
      <c r="W667" s="1895"/>
      <c r="X667" s="1895"/>
      <c r="Y667" s="1895"/>
      <c r="Z667" s="1895"/>
      <c r="AA667" s="1895"/>
      <c r="AB667" s="1895"/>
      <c r="AC667" s="1895"/>
      <c r="AD667" s="571"/>
      <c r="AE667" s="571"/>
      <c r="AF667" s="629"/>
      <c r="AG667" s="629"/>
      <c r="AH667" s="629"/>
      <c r="AI667" s="629"/>
      <c r="AJ667" s="629"/>
      <c r="AK667" s="629"/>
      <c r="AL667" s="629"/>
      <c r="AM667" s="631"/>
      <c r="AN667" s="632"/>
    </row>
    <row r="668" spans="1:42" s="585" customFormat="1" ht="12.75" customHeight="1">
      <c r="A668" s="714"/>
      <c r="B668" s="571"/>
      <c r="C668" s="968"/>
      <c r="D668" s="698"/>
      <c r="E668" s="1895"/>
      <c r="F668" s="1895"/>
      <c r="G668" s="1895"/>
      <c r="H668" s="1895"/>
      <c r="I668" s="1895"/>
      <c r="J668" s="1895"/>
      <c r="K668" s="1895"/>
      <c r="L668" s="1895"/>
      <c r="M668" s="1895"/>
      <c r="N668" s="1895"/>
      <c r="O668" s="1895"/>
      <c r="P668" s="1895"/>
      <c r="Q668" s="1895"/>
      <c r="R668" s="1895"/>
      <c r="S668" s="1895"/>
      <c r="T668" s="1895"/>
      <c r="U668" s="1895"/>
      <c r="V668" s="1895"/>
      <c r="W668" s="1895"/>
      <c r="X668" s="1895"/>
      <c r="Y668" s="1895"/>
      <c r="Z668" s="1895"/>
      <c r="AA668" s="1895"/>
      <c r="AB668" s="1895"/>
      <c r="AC668" s="1895"/>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1582</v>
      </c>
      <c r="E670" s="1895" t="s">
        <v>1595</v>
      </c>
      <c r="F670" s="1895"/>
      <c r="G670" s="1895"/>
      <c r="H670" s="1895"/>
      <c r="I670" s="1895"/>
      <c r="J670" s="1895"/>
      <c r="K670" s="1895"/>
      <c r="L670" s="1895"/>
      <c r="M670" s="1895"/>
      <c r="N670" s="1895"/>
      <c r="O670" s="1895"/>
      <c r="P670" s="1895"/>
      <c r="Q670" s="1895"/>
      <c r="R670" s="1895"/>
      <c r="S670" s="1895"/>
      <c r="T670" s="1895"/>
      <c r="U670" s="1895"/>
      <c r="V670" s="1895"/>
      <c r="W670" s="1895"/>
      <c r="X670" s="1895"/>
      <c r="Y670" s="1895"/>
      <c r="Z670" s="1895"/>
      <c r="AA670" s="1895"/>
      <c r="AB670" s="1895"/>
      <c r="AC670" s="1895"/>
      <c r="AD670" s="571"/>
      <c r="AE670" s="571"/>
      <c r="AF670" s="1975" t="s">
        <v>1596</v>
      </c>
      <c r="AG670" s="1975"/>
      <c r="AH670" s="1975"/>
      <c r="AI670" s="1975"/>
      <c r="AJ670" s="1975"/>
      <c r="AK670" s="1975"/>
      <c r="AL670" s="1975"/>
      <c r="AM670" s="631"/>
      <c r="AN670" s="632"/>
      <c r="AO670" s="646" t="s">
        <v>698</v>
      </c>
      <c r="AP670" s="585">
        <v>3</v>
      </c>
    </row>
    <row r="671" spans="1:42" s="585" customFormat="1" ht="12.75" customHeight="1">
      <c r="A671" s="714"/>
      <c r="B671" s="571"/>
      <c r="C671" s="968"/>
      <c r="D671" s="698"/>
      <c r="E671" s="1895"/>
      <c r="F671" s="1895"/>
      <c r="G671" s="1895"/>
      <c r="H671" s="1895"/>
      <c r="I671" s="1895"/>
      <c r="J671" s="1895"/>
      <c r="K671" s="1895"/>
      <c r="L671" s="1895"/>
      <c r="M671" s="1895"/>
      <c r="N671" s="1895"/>
      <c r="O671" s="1895"/>
      <c r="P671" s="1895"/>
      <c r="Q671" s="1895"/>
      <c r="R671" s="1895"/>
      <c r="S671" s="1895"/>
      <c r="T671" s="1895"/>
      <c r="U671" s="1895"/>
      <c r="V671" s="1895"/>
      <c r="W671" s="1895"/>
      <c r="X671" s="1895"/>
      <c r="Y671" s="1895"/>
      <c r="Z671" s="1895"/>
      <c r="AA671" s="1895"/>
      <c r="AB671" s="1895"/>
      <c r="AC671" s="1895"/>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895"/>
      <c r="F672" s="1895"/>
      <c r="G672" s="1895"/>
      <c r="H672" s="1895"/>
      <c r="I672" s="1895"/>
      <c r="J672" s="1895"/>
      <c r="K672" s="1895"/>
      <c r="L672" s="1895"/>
      <c r="M672" s="1895"/>
      <c r="N672" s="1895"/>
      <c r="O672" s="1895"/>
      <c r="P672" s="1895"/>
      <c r="Q672" s="1895"/>
      <c r="R672" s="1895"/>
      <c r="S672" s="1895"/>
      <c r="T672" s="1895"/>
      <c r="U672" s="1895"/>
      <c r="V672" s="1895"/>
      <c r="W672" s="1895"/>
      <c r="X672" s="1895"/>
      <c r="Y672" s="1895"/>
      <c r="Z672" s="1895"/>
      <c r="AA672" s="1895"/>
      <c r="AB672" s="1895"/>
      <c r="AC672" s="1895"/>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1571</v>
      </c>
      <c r="E674" s="973"/>
      <c r="F674" s="973"/>
      <c r="G674" s="973"/>
      <c r="H674" s="1919" t="s">
        <v>601</v>
      </c>
      <c r="I674" s="1919"/>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1597</v>
      </c>
      <c r="AJ676" s="1902">
        <f>VLOOKUP($H$674,$AO$622:$AP$629,2,FALSE)</f>
        <v>0</v>
      </c>
      <c r="AK676" s="1904"/>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2556</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895" t="s">
        <v>2554</v>
      </c>
      <c r="F680" s="1895"/>
      <c r="G680" s="1895"/>
      <c r="H680" s="1895"/>
      <c r="I680" s="1895"/>
      <c r="J680" s="1895"/>
      <c r="K680" s="1895"/>
      <c r="L680" s="1895"/>
      <c r="M680" s="1895"/>
      <c r="N680" s="1895"/>
      <c r="O680" s="1895"/>
      <c r="P680" s="1895"/>
      <c r="Q680" s="1895"/>
      <c r="R680" s="1895"/>
      <c r="S680" s="1895"/>
      <c r="T680" s="1895"/>
      <c r="U680" s="1895"/>
      <c r="V680" s="1895"/>
      <c r="W680" s="1895"/>
      <c r="X680" s="1895"/>
      <c r="Y680" s="1895"/>
      <c r="Z680" s="1895"/>
      <c r="AA680" s="1895"/>
      <c r="AB680" s="1895"/>
      <c r="AC680" s="571"/>
      <c r="AD680" s="571"/>
      <c r="AE680" s="571"/>
      <c r="AF680" s="1975" t="s">
        <v>1523</v>
      </c>
      <c r="AG680" s="1975"/>
      <c r="AH680" s="1975"/>
      <c r="AI680" s="1975"/>
      <c r="AJ680" s="1975"/>
      <c r="AK680" s="1975"/>
      <c r="AL680" s="1975"/>
      <c r="AN680" s="632"/>
    </row>
    <row r="681" spans="1:42" s="585" customFormat="1" ht="12.75" customHeight="1">
      <c r="B681" s="571"/>
      <c r="C681" s="977"/>
      <c r="D681" s="698"/>
      <c r="E681" s="1895"/>
      <c r="F681" s="1895"/>
      <c r="G681" s="1895"/>
      <c r="H681" s="1895"/>
      <c r="I681" s="1895"/>
      <c r="J681" s="1895"/>
      <c r="K681" s="1895"/>
      <c r="L681" s="1895"/>
      <c r="M681" s="1895"/>
      <c r="N681" s="1895"/>
      <c r="O681" s="1895"/>
      <c r="P681" s="1895"/>
      <c r="Q681" s="1895"/>
      <c r="R681" s="1895"/>
      <c r="S681" s="1895"/>
      <c r="T681" s="1895"/>
      <c r="U681" s="1895"/>
      <c r="V681" s="1895"/>
      <c r="W681" s="1895"/>
      <c r="X681" s="1895"/>
      <c r="Y681" s="1895"/>
      <c r="Z681" s="1895"/>
      <c r="AA681" s="1895"/>
      <c r="AB681" s="1895"/>
      <c r="AC681" s="571"/>
      <c r="AD681" s="571"/>
      <c r="AE681" s="651"/>
      <c r="AF681" s="571"/>
      <c r="AG681" s="571"/>
      <c r="AH681" s="571"/>
      <c r="AI681" s="571"/>
      <c r="AJ681" s="571"/>
      <c r="AK681" s="571"/>
      <c r="AL681" s="571"/>
      <c r="AN681" s="632"/>
      <c r="AO681" s="1910"/>
      <c r="AP681" s="1910"/>
    </row>
    <row r="682" spans="1:42" s="585" customFormat="1" ht="12.75" customHeight="1">
      <c r="B682" s="571"/>
      <c r="C682" s="977"/>
      <c r="D682" s="698"/>
      <c r="E682" s="1895"/>
      <c r="F682" s="1895"/>
      <c r="G682" s="1895"/>
      <c r="H682" s="1895"/>
      <c r="I682" s="1895"/>
      <c r="J682" s="1895"/>
      <c r="K682" s="1895"/>
      <c r="L682" s="1895"/>
      <c r="M682" s="1895"/>
      <c r="N682" s="1895"/>
      <c r="O682" s="1895"/>
      <c r="P682" s="1895"/>
      <c r="Q682" s="1895"/>
      <c r="R682" s="1895"/>
      <c r="S682" s="1895"/>
      <c r="T682" s="1895"/>
      <c r="U682" s="1895"/>
      <c r="V682" s="1895"/>
      <c r="W682" s="1895"/>
      <c r="X682" s="1895"/>
      <c r="Y682" s="1895"/>
      <c r="Z682" s="1895"/>
      <c r="AA682" s="1895"/>
      <c r="AB682" s="1895"/>
      <c r="AC682" s="571"/>
      <c r="AD682" s="571"/>
      <c r="AE682" s="651"/>
      <c r="AF682" s="651"/>
      <c r="AG682" s="651"/>
      <c r="AH682" s="651"/>
      <c r="AI682" s="651"/>
      <c r="AJ682" s="651"/>
      <c r="AK682" s="651"/>
      <c r="AL682" s="651"/>
      <c r="AN682" s="632"/>
    </row>
    <row r="683" spans="1:42" s="585" customFormat="1" ht="28.5" customHeight="1">
      <c r="B683" s="571"/>
      <c r="C683" s="977"/>
      <c r="D683" s="698"/>
      <c r="E683" s="1895"/>
      <c r="F683" s="1895"/>
      <c r="G683" s="1895"/>
      <c r="H683" s="1895"/>
      <c r="I683" s="1895"/>
      <c r="J683" s="1895"/>
      <c r="K683" s="1895"/>
      <c r="L683" s="1895"/>
      <c r="M683" s="1895"/>
      <c r="N683" s="1895"/>
      <c r="O683" s="1895"/>
      <c r="P683" s="1895"/>
      <c r="Q683" s="1895"/>
      <c r="R683" s="1895"/>
      <c r="S683" s="1895"/>
      <c r="T683" s="1895"/>
      <c r="U683" s="1895"/>
      <c r="V683" s="1895"/>
      <c r="W683" s="1895"/>
      <c r="X683" s="1895"/>
      <c r="Y683" s="1895"/>
      <c r="Z683" s="1895"/>
      <c r="AA683" s="1895"/>
      <c r="AB683" s="1895"/>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895" t="s">
        <v>2555</v>
      </c>
      <c r="F685" s="1895"/>
      <c r="G685" s="1895"/>
      <c r="H685" s="1895"/>
      <c r="I685" s="1895"/>
      <c r="J685" s="1895"/>
      <c r="K685" s="1895"/>
      <c r="L685" s="1895"/>
      <c r="M685" s="1895"/>
      <c r="N685" s="1895"/>
      <c r="O685" s="1895"/>
      <c r="P685" s="1895"/>
      <c r="Q685" s="1895"/>
      <c r="R685" s="1895"/>
      <c r="S685" s="1895"/>
      <c r="T685" s="1895"/>
      <c r="U685" s="1895"/>
      <c r="V685" s="1895"/>
      <c r="W685" s="1895"/>
      <c r="X685" s="1895"/>
      <c r="Y685" s="1895"/>
      <c r="Z685" s="1895"/>
      <c r="AA685" s="1895"/>
      <c r="AB685" s="1895"/>
      <c r="AC685" s="571"/>
      <c r="AD685" s="571"/>
      <c r="AE685" s="571"/>
      <c r="AF685" s="1975" t="s">
        <v>1579</v>
      </c>
      <c r="AG685" s="1975"/>
      <c r="AH685" s="1975"/>
      <c r="AI685" s="1975"/>
      <c r="AJ685" s="1975"/>
      <c r="AK685" s="1975"/>
      <c r="AL685" s="1975"/>
      <c r="AN685" s="632"/>
      <c r="AO685" s="646" t="s">
        <v>519</v>
      </c>
      <c r="AP685" s="585">
        <v>1</v>
      </c>
    </row>
    <row r="686" spans="1:42" s="585" customFormat="1" ht="12" customHeight="1">
      <c r="B686" s="571"/>
      <c r="C686" s="968"/>
      <c r="D686" s="571"/>
      <c r="E686" s="1895"/>
      <c r="F686" s="1895"/>
      <c r="G686" s="1895"/>
      <c r="H686" s="1895"/>
      <c r="I686" s="1895"/>
      <c r="J686" s="1895"/>
      <c r="K686" s="1895"/>
      <c r="L686" s="1895"/>
      <c r="M686" s="1895"/>
      <c r="N686" s="1895"/>
      <c r="O686" s="1895"/>
      <c r="P686" s="1895"/>
      <c r="Q686" s="1895"/>
      <c r="R686" s="1895"/>
      <c r="S686" s="1895"/>
      <c r="T686" s="1895"/>
      <c r="U686" s="1895"/>
      <c r="V686" s="1895"/>
      <c r="W686" s="1895"/>
      <c r="X686" s="1895"/>
      <c r="Y686" s="1895"/>
      <c r="Z686" s="1895"/>
      <c r="AA686" s="1895"/>
      <c r="AB686" s="1895"/>
      <c r="AC686" s="571"/>
      <c r="AD686" s="571"/>
      <c r="AE686" s="651"/>
      <c r="AF686" s="571"/>
      <c r="AG686" s="571"/>
      <c r="AH686" s="571"/>
      <c r="AI686" s="571"/>
      <c r="AJ686" s="571"/>
      <c r="AK686" s="571"/>
      <c r="AL686" s="571"/>
      <c r="AN686" s="632"/>
    </row>
    <row r="687" spans="1:42" s="585" customFormat="1" ht="12" customHeight="1">
      <c r="B687" s="571"/>
      <c r="C687" s="968"/>
      <c r="D687" s="571"/>
      <c r="E687" s="1895"/>
      <c r="F687" s="1895"/>
      <c r="G687" s="1895"/>
      <c r="H687" s="1895"/>
      <c r="I687" s="1895"/>
      <c r="J687" s="1895"/>
      <c r="K687" s="1895"/>
      <c r="L687" s="1895"/>
      <c r="M687" s="1895"/>
      <c r="N687" s="1895"/>
      <c r="O687" s="1895"/>
      <c r="P687" s="1895"/>
      <c r="Q687" s="1895"/>
      <c r="R687" s="1895"/>
      <c r="S687" s="1895"/>
      <c r="T687" s="1895"/>
      <c r="U687" s="1895"/>
      <c r="V687" s="1895"/>
      <c r="W687" s="1895"/>
      <c r="X687" s="1895"/>
      <c r="Y687" s="1895"/>
      <c r="Z687" s="1895"/>
      <c r="AA687" s="1895"/>
      <c r="AB687" s="1895"/>
      <c r="AC687" s="571"/>
      <c r="AD687" s="571"/>
      <c r="AE687" s="651"/>
      <c r="AF687" s="571"/>
      <c r="AG687" s="571"/>
      <c r="AH687" s="571"/>
      <c r="AI687" s="571"/>
      <c r="AJ687" s="571"/>
      <c r="AK687" s="571"/>
      <c r="AL687" s="571"/>
      <c r="AN687" s="632"/>
    </row>
    <row r="688" spans="1:42" s="605" customFormat="1" ht="29.25" customHeight="1">
      <c r="A688" s="585"/>
      <c r="B688" s="571"/>
      <c r="C688" s="968"/>
      <c r="D688" s="571"/>
      <c r="E688" s="1895"/>
      <c r="F688" s="1895"/>
      <c r="G688" s="1895"/>
      <c r="H688" s="1895"/>
      <c r="I688" s="1895"/>
      <c r="J688" s="1895"/>
      <c r="K688" s="1895"/>
      <c r="L688" s="1895"/>
      <c r="M688" s="1895"/>
      <c r="N688" s="1895"/>
      <c r="O688" s="1895"/>
      <c r="P688" s="1895"/>
      <c r="Q688" s="1895"/>
      <c r="R688" s="1895"/>
      <c r="S688" s="1895"/>
      <c r="T688" s="1895"/>
      <c r="U688" s="1895"/>
      <c r="V688" s="1895"/>
      <c r="W688" s="1895"/>
      <c r="X688" s="1895"/>
      <c r="Y688" s="1895"/>
      <c r="Z688" s="1895"/>
      <c r="AA688" s="1895"/>
      <c r="AB688" s="1895"/>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895" t="s">
        <v>1952</v>
      </c>
      <c r="F690" s="1895"/>
      <c r="G690" s="1895"/>
      <c r="H690" s="1895"/>
      <c r="I690" s="1895"/>
      <c r="J690" s="1895"/>
      <c r="K690" s="1895"/>
      <c r="L690" s="1895"/>
      <c r="M690" s="1895"/>
      <c r="N690" s="1895"/>
      <c r="O690" s="1895"/>
      <c r="P690" s="1895"/>
      <c r="Q690" s="1895"/>
      <c r="R690" s="1895"/>
      <c r="S690" s="1895"/>
      <c r="T690" s="1895"/>
      <c r="U690" s="1895"/>
      <c r="V690" s="1895"/>
      <c r="W690" s="1895"/>
      <c r="X690" s="1895"/>
      <c r="Y690" s="1895"/>
      <c r="Z690" s="1895"/>
      <c r="AA690" s="1895"/>
      <c r="AB690" s="1895"/>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895"/>
      <c r="F691" s="1895"/>
      <c r="G691" s="1895"/>
      <c r="H691" s="1895"/>
      <c r="I691" s="1895"/>
      <c r="J691" s="1895"/>
      <c r="K691" s="1895"/>
      <c r="L691" s="1895"/>
      <c r="M691" s="1895"/>
      <c r="N691" s="1895"/>
      <c r="O691" s="1895"/>
      <c r="P691" s="1895"/>
      <c r="Q691" s="1895"/>
      <c r="R691" s="1895"/>
      <c r="S691" s="1895"/>
      <c r="T691" s="1895"/>
      <c r="U691" s="1895"/>
      <c r="V691" s="1895"/>
      <c r="W691" s="1895"/>
      <c r="X691" s="1895"/>
      <c r="Y691" s="1895"/>
      <c r="Z691" s="1895"/>
      <c r="AA691" s="1895"/>
      <c r="AB691" s="1895"/>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895"/>
      <c r="F692" s="1895"/>
      <c r="G692" s="1895"/>
      <c r="H692" s="1895"/>
      <c r="I692" s="1895"/>
      <c r="J692" s="1895"/>
      <c r="K692" s="1895"/>
      <c r="L692" s="1895"/>
      <c r="M692" s="1895"/>
      <c r="N692" s="1895"/>
      <c r="O692" s="1895"/>
      <c r="P692" s="1895"/>
      <c r="Q692" s="1895"/>
      <c r="R692" s="1895"/>
      <c r="S692" s="1895"/>
      <c r="T692" s="1895"/>
      <c r="U692" s="1895"/>
      <c r="V692" s="1895"/>
      <c r="W692" s="1895"/>
      <c r="X692" s="1895"/>
      <c r="Y692" s="1895"/>
      <c r="Z692" s="1895"/>
      <c r="AA692" s="1895"/>
      <c r="AB692" s="1895"/>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1571</v>
      </c>
      <c r="E694" s="973"/>
      <c r="F694" s="973"/>
      <c r="G694" s="973"/>
      <c r="H694" s="1919" t="s">
        <v>601</v>
      </c>
      <c r="I694" s="1919"/>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1598</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1576</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2557</v>
      </c>
      <c r="AJ696" s="1902">
        <f>VLOOKUP($H$694,$AO$641:$AP$643,2,FALSE)</f>
        <v>0</v>
      </c>
      <c r="AK696" s="1904"/>
      <c r="AL696" s="630"/>
      <c r="AM696" s="585"/>
      <c r="AN696" s="719"/>
      <c r="AP696" s="605" t="s">
        <v>1583</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1599</v>
      </c>
    </row>
    <row r="698" spans="1:42" s="605" customFormat="1" ht="12.75" customHeight="1">
      <c r="A698" s="585"/>
      <c r="B698" s="571"/>
      <c r="C698" s="574" t="s">
        <v>1600</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1601</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1602</v>
      </c>
    </row>
    <row r="700" spans="1:42" s="605" customFormat="1" ht="12.75" customHeight="1">
      <c r="A700" s="672"/>
      <c r="B700" s="571"/>
      <c r="C700" s="968"/>
      <c r="D700" s="698" t="s">
        <v>698</v>
      </c>
      <c r="E700" s="2008" t="s">
        <v>1954</v>
      </c>
      <c r="F700" s="2008"/>
      <c r="G700" s="2008"/>
      <c r="H700" s="2008"/>
      <c r="I700" s="2008"/>
      <c r="J700" s="2008"/>
      <c r="K700" s="2008"/>
      <c r="L700" s="2008"/>
      <c r="M700" s="2008"/>
      <c r="N700" s="2008"/>
      <c r="O700" s="2008"/>
      <c r="P700" s="2008"/>
      <c r="Q700" s="2008"/>
      <c r="R700" s="2008"/>
      <c r="S700" s="2008"/>
      <c r="T700" s="2008"/>
      <c r="U700" s="2008"/>
      <c r="V700" s="2008"/>
      <c r="W700" s="2008"/>
      <c r="X700" s="2008"/>
      <c r="Y700" s="2008"/>
      <c r="Z700" s="2008"/>
      <c r="AA700" s="2008"/>
      <c r="AB700" s="2008"/>
      <c r="AC700" s="571"/>
      <c r="AD700" s="571"/>
      <c r="AE700" s="571"/>
      <c r="AF700" s="1975" t="s">
        <v>1523</v>
      </c>
      <c r="AG700" s="1975"/>
      <c r="AH700" s="1975"/>
      <c r="AI700" s="1975"/>
      <c r="AJ700" s="1975"/>
      <c r="AK700" s="1975"/>
      <c r="AL700" s="1975"/>
      <c r="AM700" s="585"/>
      <c r="AN700" s="719"/>
      <c r="AP700" s="605" t="s">
        <v>1603</v>
      </c>
    </row>
    <row r="701" spans="1:42" s="605" customFormat="1" ht="11.85" customHeight="1">
      <c r="A701" s="585"/>
      <c r="B701" s="571"/>
      <c r="C701" s="970"/>
      <c r="D701" s="698"/>
      <c r="E701" s="2008"/>
      <c r="F701" s="2008"/>
      <c r="G701" s="2008"/>
      <c r="H701" s="2008"/>
      <c r="I701" s="2008"/>
      <c r="J701" s="2008"/>
      <c r="K701" s="2008"/>
      <c r="L701" s="2008"/>
      <c r="M701" s="2008"/>
      <c r="N701" s="2008"/>
      <c r="O701" s="2008"/>
      <c r="P701" s="2008"/>
      <c r="Q701" s="2008"/>
      <c r="R701" s="2008"/>
      <c r="S701" s="2008"/>
      <c r="T701" s="2008"/>
      <c r="U701" s="2008"/>
      <c r="V701" s="2008"/>
      <c r="W701" s="2008"/>
      <c r="X701" s="2008"/>
      <c r="Y701" s="2008"/>
      <c r="Z701" s="2008"/>
      <c r="AA701" s="2008"/>
      <c r="AB701" s="2008"/>
      <c r="AC701" s="571"/>
      <c r="AD701" s="571"/>
      <c r="AE701" s="571"/>
      <c r="AF701" s="571"/>
      <c r="AG701" s="571"/>
      <c r="AH701" s="571"/>
      <c r="AI701" s="571"/>
      <c r="AJ701" s="571"/>
      <c r="AK701" s="571"/>
      <c r="AL701" s="571"/>
      <c r="AM701" s="585"/>
      <c r="AN701" s="719"/>
      <c r="AP701" s="605" t="s">
        <v>1604</v>
      </c>
    </row>
    <row r="702" spans="1:42" s="605" customFormat="1" ht="13.95" customHeight="1">
      <c r="A702" s="585"/>
      <c r="B702" s="645"/>
      <c r="C702" s="968"/>
      <c r="D702" s="698"/>
      <c r="E702" s="2008"/>
      <c r="F702" s="2008"/>
      <c r="G702" s="2008"/>
      <c r="H702" s="2008"/>
      <c r="I702" s="2008"/>
      <c r="J702" s="2008"/>
      <c r="K702" s="2008"/>
      <c r="L702" s="2008"/>
      <c r="M702" s="2008"/>
      <c r="N702" s="2008"/>
      <c r="O702" s="2008"/>
      <c r="P702" s="2008"/>
      <c r="Q702" s="2008"/>
      <c r="R702" s="2008"/>
      <c r="S702" s="2008"/>
      <c r="T702" s="2008"/>
      <c r="U702" s="2008"/>
      <c r="V702" s="2008"/>
      <c r="W702" s="2008"/>
      <c r="X702" s="2008"/>
      <c r="Y702" s="2008"/>
      <c r="Z702" s="2008"/>
      <c r="AA702" s="2008"/>
      <c r="AB702" s="2008"/>
      <c r="AC702" s="571"/>
      <c r="AD702" s="571"/>
      <c r="AE702" s="651"/>
      <c r="AF702" s="571"/>
      <c r="AG702" s="571"/>
      <c r="AH702" s="571"/>
      <c r="AI702" s="571"/>
      <c r="AJ702" s="571"/>
      <c r="AK702" s="571"/>
      <c r="AL702" s="571"/>
      <c r="AM702" s="585"/>
      <c r="AN702" s="719"/>
      <c r="AP702" s="605" t="s">
        <v>1605</v>
      </c>
    </row>
    <row r="703" spans="1:42" s="605" customFormat="1" ht="13.95"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1607</v>
      </c>
    </row>
    <row r="704" spans="1:42" s="605" customFormat="1" ht="13.95" customHeight="1">
      <c r="A704" s="585"/>
      <c r="B704" s="571"/>
      <c r="C704" s="968"/>
      <c r="D704" s="698" t="s">
        <v>519</v>
      </c>
      <c r="E704" s="2009" t="s">
        <v>1606</v>
      </c>
      <c r="F704" s="2009"/>
      <c r="G704" s="2009"/>
      <c r="H704" s="2009"/>
      <c r="I704" s="2009"/>
      <c r="J704" s="2009"/>
      <c r="K704" s="2009"/>
      <c r="L704" s="2009"/>
      <c r="M704" s="2009"/>
      <c r="N704" s="2009"/>
      <c r="O704" s="2009"/>
      <c r="P704" s="2009"/>
      <c r="Q704" s="2009"/>
      <c r="R704" s="2009"/>
      <c r="S704" s="2009"/>
      <c r="T704" s="2009"/>
      <c r="U704" s="2009"/>
      <c r="V704" s="2009"/>
      <c r="W704" s="2009"/>
      <c r="X704" s="2009"/>
      <c r="Y704" s="2009"/>
      <c r="Z704" s="2009"/>
      <c r="AA704" s="2009"/>
      <c r="AB704" s="2009"/>
      <c r="AC704" s="571"/>
      <c r="AD704" s="571"/>
      <c r="AE704" s="571"/>
      <c r="AF704" s="1975" t="s">
        <v>1579</v>
      </c>
      <c r="AG704" s="1975"/>
      <c r="AH704" s="1975"/>
      <c r="AI704" s="1975"/>
      <c r="AJ704" s="1975"/>
      <c r="AK704" s="1975"/>
      <c r="AL704" s="1975"/>
      <c r="AM704" s="585"/>
      <c r="AN704" s="720"/>
    </row>
    <row r="705" spans="1:52" s="605" customFormat="1" ht="12.75" customHeight="1">
      <c r="A705" s="585"/>
      <c r="B705" s="571"/>
      <c r="C705" s="970"/>
      <c r="D705" s="571"/>
      <c r="E705" s="2009"/>
      <c r="F705" s="2009"/>
      <c r="G705" s="2009"/>
      <c r="H705" s="2009"/>
      <c r="I705" s="2009"/>
      <c r="J705" s="2009"/>
      <c r="K705" s="2009"/>
      <c r="L705" s="2009"/>
      <c r="M705" s="2009"/>
      <c r="N705" s="2009"/>
      <c r="O705" s="2009"/>
      <c r="P705" s="2009"/>
      <c r="Q705" s="2009"/>
      <c r="R705" s="2009"/>
      <c r="S705" s="2009"/>
      <c r="T705" s="2009"/>
      <c r="U705" s="2009"/>
      <c r="V705" s="2009"/>
      <c r="W705" s="2009"/>
      <c r="X705" s="2009"/>
      <c r="Y705" s="2009"/>
      <c r="Z705" s="2009"/>
      <c r="AA705" s="2009"/>
      <c r="AB705" s="2009"/>
      <c r="AC705" s="571"/>
      <c r="AD705" s="571"/>
      <c r="AE705" s="571"/>
      <c r="AF705" s="571"/>
      <c r="AG705" s="571"/>
      <c r="AH705" s="571"/>
      <c r="AI705" s="571"/>
      <c r="AJ705" s="571"/>
      <c r="AK705" s="571"/>
      <c r="AL705" s="571"/>
      <c r="AM705" s="585"/>
      <c r="AN705" s="719"/>
      <c r="AP705" s="585" t="s">
        <v>601</v>
      </c>
      <c r="AQ705" s="708">
        <v>0</v>
      </c>
    </row>
    <row r="706" spans="1:52" s="605" customFormat="1" ht="13.95" customHeight="1">
      <c r="A706" s="585"/>
      <c r="B706" s="571"/>
      <c r="C706" s="970"/>
      <c r="D706" s="571"/>
      <c r="E706" s="2009"/>
      <c r="F706" s="2009"/>
      <c r="G706" s="2009"/>
      <c r="H706" s="2009"/>
      <c r="I706" s="2009"/>
      <c r="J706" s="2009"/>
      <c r="K706" s="2009"/>
      <c r="L706" s="2009"/>
      <c r="M706" s="2009"/>
      <c r="N706" s="2009"/>
      <c r="O706" s="2009"/>
      <c r="P706" s="2009"/>
      <c r="Q706" s="2009"/>
      <c r="R706" s="2009"/>
      <c r="S706" s="2009"/>
      <c r="T706" s="2009"/>
      <c r="U706" s="2009"/>
      <c r="V706" s="2009"/>
      <c r="W706" s="2009"/>
      <c r="X706" s="2009"/>
      <c r="Y706" s="2009"/>
      <c r="Z706" s="2009"/>
      <c r="AA706" s="2009"/>
      <c r="AB706" s="2009"/>
      <c r="AC706" s="571"/>
      <c r="AD706" s="571"/>
      <c r="AE706" s="571"/>
      <c r="AF706" s="571"/>
      <c r="AG706" s="571"/>
      <c r="AH706" s="571"/>
      <c r="AI706" s="571"/>
      <c r="AJ706" s="571"/>
      <c r="AK706" s="571"/>
      <c r="AL706" s="571"/>
      <c r="AM706" s="585"/>
      <c r="AN706" s="719"/>
      <c r="AP706" s="646" t="s">
        <v>698</v>
      </c>
      <c r="AQ706" s="585">
        <v>2</v>
      </c>
    </row>
    <row r="707" spans="1:52" s="605" customFormat="1" ht="13.95"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5" customHeight="1">
      <c r="A708" s="585"/>
      <c r="B708" s="571"/>
      <c r="C708" s="970"/>
      <c r="D708" s="571" t="s">
        <v>1571</v>
      </c>
      <c r="E708" s="973"/>
      <c r="F708" s="973"/>
      <c r="G708" s="973"/>
      <c r="H708" s="1919" t="s">
        <v>601</v>
      </c>
      <c r="I708" s="1919"/>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1608</v>
      </c>
      <c r="AJ710" s="1902">
        <f>VLOOKUP($H$708,$AO$641:$AP$643,2,FALSE)</f>
        <v>0</v>
      </c>
      <c r="AK710" s="1904"/>
      <c r="AL710" s="630"/>
      <c r="AM710" s="585"/>
      <c r="AN710" s="719"/>
      <c r="AP710" s="1902"/>
      <c r="AQ710" s="1904"/>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1609</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895" t="s">
        <v>1955</v>
      </c>
      <c r="F714" s="1895"/>
      <c r="G714" s="1895"/>
      <c r="H714" s="1895"/>
      <c r="I714" s="1895"/>
      <c r="J714" s="1895"/>
      <c r="K714" s="1895"/>
      <c r="L714" s="1895"/>
      <c r="M714" s="1895"/>
      <c r="N714" s="1895"/>
      <c r="O714" s="1895"/>
      <c r="P714" s="1895"/>
      <c r="Q714" s="1895"/>
      <c r="R714" s="1895"/>
      <c r="S714" s="1895"/>
      <c r="T714" s="1895"/>
      <c r="U714" s="1895"/>
      <c r="V714" s="1895"/>
      <c r="W714" s="1895"/>
      <c r="X714" s="1895"/>
      <c r="Y714" s="1895"/>
      <c r="Z714" s="1895"/>
      <c r="AA714" s="1895"/>
      <c r="AB714" s="1895"/>
      <c r="AC714" s="571"/>
      <c r="AD714" s="571"/>
      <c r="AE714" s="571"/>
      <c r="AF714" s="1975" t="s">
        <v>1523</v>
      </c>
      <c r="AG714" s="1975"/>
      <c r="AH714" s="1975"/>
      <c r="AI714" s="1975"/>
      <c r="AJ714" s="1975"/>
      <c r="AK714" s="1975"/>
      <c r="AL714" s="1975"/>
      <c r="AM714" s="585"/>
      <c r="AN714" s="719"/>
      <c r="AT714" s="14"/>
      <c r="AU714" s="14"/>
      <c r="AV714" s="14"/>
      <c r="AW714" s="14"/>
      <c r="AX714" s="14"/>
      <c r="AY714" s="14"/>
      <c r="AZ714" s="14"/>
    </row>
    <row r="715" spans="1:52" s="605" customFormat="1">
      <c r="A715" s="585"/>
      <c r="B715" s="571"/>
      <c r="C715" s="970"/>
      <c r="D715" s="698"/>
      <c r="E715" s="1895"/>
      <c r="F715" s="1895"/>
      <c r="G715" s="1895"/>
      <c r="H715" s="1895"/>
      <c r="I715" s="1895"/>
      <c r="J715" s="1895"/>
      <c r="K715" s="1895"/>
      <c r="L715" s="1895"/>
      <c r="M715" s="1895"/>
      <c r="N715" s="1895"/>
      <c r="O715" s="1895"/>
      <c r="P715" s="1895"/>
      <c r="Q715" s="1895"/>
      <c r="R715" s="1895"/>
      <c r="S715" s="1895"/>
      <c r="T715" s="1895"/>
      <c r="U715" s="1895"/>
      <c r="V715" s="1895"/>
      <c r="W715" s="1895"/>
      <c r="X715" s="1895"/>
      <c r="Y715" s="1895"/>
      <c r="Z715" s="1895"/>
      <c r="AA715" s="1895"/>
      <c r="AB715" s="1895"/>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895" t="s">
        <v>1610</v>
      </c>
      <c r="F717" s="1895"/>
      <c r="G717" s="1895"/>
      <c r="H717" s="1895"/>
      <c r="I717" s="1895"/>
      <c r="J717" s="1895"/>
      <c r="K717" s="1895"/>
      <c r="L717" s="1895"/>
      <c r="M717" s="1895"/>
      <c r="N717" s="1895"/>
      <c r="O717" s="1895"/>
      <c r="P717" s="1895"/>
      <c r="Q717" s="1895"/>
      <c r="R717" s="1895"/>
      <c r="S717" s="1895"/>
      <c r="T717" s="1895"/>
      <c r="U717" s="1895"/>
      <c r="V717" s="1895"/>
      <c r="W717" s="1895"/>
      <c r="X717" s="1895"/>
      <c r="Y717" s="1895"/>
      <c r="Z717" s="1895"/>
      <c r="AA717" s="1895"/>
      <c r="AB717" s="1895"/>
      <c r="AC717" s="571"/>
      <c r="AD717" s="571"/>
      <c r="AE717" s="571"/>
      <c r="AF717" s="1975" t="s">
        <v>1579</v>
      </c>
      <c r="AG717" s="1975"/>
      <c r="AH717" s="1975"/>
      <c r="AI717" s="1975"/>
      <c r="AJ717" s="1975"/>
      <c r="AK717" s="1975"/>
      <c r="AL717" s="1975"/>
      <c r="AM717" s="585"/>
      <c r="AN717" s="719"/>
      <c r="AT717" s="14"/>
      <c r="AU717" s="14"/>
      <c r="AV717" s="14"/>
      <c r="AW717" s="14"/>
      <c r="AX717" s="14"/>
      <c r="AY717" s="14"/>
      <c r="AZ717" s="14"/>
    </row>
    <row r="718" spans="1:52" s="605" customFormat="1">
      <c r="A718" s="585"/>
      <c r="B718" s="571"/>
      <c r="C718" s="970"/>
      <c r="D718" s="571"/>
      <c r="E718" s="1895"/>
      <c r="F718" s="1895"/>
      <c r="G718" s="1895"/>
      <c r="H718" s="1895"/>
      <c r="I718" s="1895"/>
      <c r="J718" s="1895"/>
      <c r="K718" s="1895"/>
      <c r="L718" s="1895"/>
      <c r="M718" s="1895"/>
      <c r="N718" s="1895"/>
      <c r="O718" s="1895"/>
      <c r="P718" s="1895"/>
      <c r="Q718" s="1895"/>
      <c r="R718" s="1895"/>
      <c r="S718" s="1895"/>
      <c r="T718" s="1895"/>
      <c r="U718" s="1895"/>
      <c r="V718" s="1895"/>
      <c r="W718" s="1895"/>
      <c r="X718" s="1895"/>
      <c r="Y718" s="1895"/>
      <c r="Z718" s="1895"/>
      <c r="AA718" s="1895"/>
      <c r="AB718" s="1895"/>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1571</v>
      </c>
      <c r="E720" s="973"/>
      <c r="F720" s="973"/>
      <c r="G720" s="973"/>
      <c r="H720" s="1919" t="s">
        <v>601</v>
      </c>
      <c r="I720" s="1919"/>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1611</v>
      </c>
      <c r="AJ722" s="1902">
        <f>VLOOKUP($H$720,$AO$655:$AP$657,2,FALSE)</f>
        <v>0</v>
      </c>
      <c r="AK722" s="1904"/>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1612</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895" t="s">
        <v>1613</v>
      </c>
      <c r="F726" s="1895"/>
      <c r="G726" s="1895"/>
      <c r="H726" s="1895"/>
      <c r="I726" s="1895"/>
      <c r="J726" s="1895"/>
      <c r="K726" s="1895"/>
      <c r="L726" s="1895"/>
      <c r="M726" s="1895"/>
      <c r="N726" s="1895"/>
      <c r="O726" s="1895"/>
      <c r="P726" s="1895"/>
      <c r="Q726" s="1895"/>
      <c r="R726" s="1895"/>
      <c r="S726" s="1895"/>
      <c r="T726" s="1895"/>
      <c r="U726" s="1895"/>
      <c r="V726" s="1895"/>
      <c r="W726" s="1895"/>
      <c r="X726" s="1895"/>
      <c r="Y726" s="1895"/>
      <c r="Z726" s="1895"/>
      <c r="AA726" s="1895"/>
      <c r="AB726" s="1895"/>
      <c r="AC726" s="571"/>
      <c r="AD726" s="571"/>
      <c r="AE726" s="571"/>
      <c r="AF726" s="1975" t="s">
        <v>1523</v>
      </c>
      <c r="AG726" s="1975"/>
      <c r="AH726" s="1975"/>
      <c r="AI726" s="1975"/>
      <c r="AJ726" s="1975"/>
      <c r="AK726" s="1975"/>
      <c r="AL726" s="1975"/>
      <c r="AM726" s="585"/>
      <c r="AN726" s="719"/>
      <c r="AT726" s="14"/>
      <c r="AU726" s="14"/>
      <c r="AV726" s="14"/>
      <c r="AW726" s="14"/>
      <c r="AX726" s="14"/>
      <c r="AY726" s="14"/>
      <c r="AZ726" s="14"/>
    </row>
    <row r="727" spans="1:81" s="605" customFormat="1">
      <c r="A727" s="585"/>
      <c r="B727" s="571"/>
      <c r="C727" s="968"/>
      <c r="D727" s="698"/>
      <c r="E727" s="1895"/>
      <c r="F727" s="1895"/>
      <c r="G727" s="1895"/>
      <c r="H727" s="1895"/>
      <c r="I727" s="1895"/>
      <c r="J727" s="1895"/>
      <c r="K727" s="1895"/>
      <c r="L727" s="1895"/>
      <c r="M727" s="1895"/>
      <c r="N727" s="1895"/>
      <c r="O727" s="1895"/>
      <c r="P727" s="1895"/>
      <c r="Q727" s="1895"/>
      <c r="R727" s="1895"/>
      <c r="S727" s="1895"/>
      <c r="T727" s="1895"/>
      <c r="U727" s="1895"/>
      <c r="V727" s="1895"/>
      <c r="W727" s="1895"/>
      <c r="X727" s="1895"/>
      <c r="Y727" s="1895"/>
      <c r="Z727" s="1895"/>
      <c r="AA727" s="1895"/>
      <c r="AB727" s="1895"/>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895"/>
      <c r="F728" s="1895"/>
      <c r="G728" s="1895"/>
      <c r="H728" s="1895"/>
      <c r="I728" s="1895"/>
      <c r="J728" s="1895"/>
      <c r="K728" s="1895"/>
      <c r="L728" s="1895"/>
      <c r="M728" s="1895"/>
      <c r="N728" s="1895"/>
      <c r="O728" s="1895"/>
      <c r="P728" s="1895"/>
      <c r="Q728" s="1895"/>
      <c r="R728" s="1895"/>
      <c r="S728" s="1895"/>
      <c r="T728" s="1895"/>
      <c r="U728" s="1895"/>
      <c r="V728" s="1895"/>
      <c r="W728" s="1895"/>
      <c r="X728" s="1895"/>
      <c r="Y728" s="1895"/>
      <c r="Z728" s="1895"/>
      <c r="AA728" s="1895"/>
      <c r="AB728" s="1895"/>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895"/>
      <c r="F729" s="1895"/>
      <c r="G729" s="1895"/>
      <c r="H729" s="1895"/>
      <c r="I729" s="1895"/>
      <c r="J729" s="1895"/>
      <c r="K729" s="1895"/>
      <c r="L729" s="1895"/>
      <c r="M729" s="1895"/>
      <c r="N729" s="1895"/>
      <c r="O729" s="1895"/>
      <c r="P729" s="1895"/>
      <c r="Q729" s="1895"/>
      <c r="R729" s="1895"/>
      <c r="S729" s="1895"/>
      <c r="T729" s="1895"/>
      <c r="U729" s="1895"/>
      <c r="V729" s="1895"/>
      <c r="W729" s="1895"/>
      <c r="X729" s="1895"/>
      <c r="Y729" s="1895"/>
      <c r="Z729" s="1895"/>
      <c r="AA729" s="1895"/>
      <c r="AB729" s="1895"/>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895" t="s">
        <v>1614</v>
      </c>
      <c r="F731" s="1895"/>
      <c r="G731" s="1895"/>
      <c r="H731" s="1895"/>
      <c r="I731" s="1895"/>
      <c r="J731" s="1895"/>
      <c r="K731" s="1895"/>
      <c r="L731" s="1895"/>
      <c r="M731" s="1895"/>
      <c r="N731" s="1895"/>
      <c r="O731" s="1895"/>
      <c r="P731" s="1895"/>
      <c r="Q731" s="1895"/>
      <c r="R731" s="1895"/>
      <c r="S731" s="1895"/>
      <c r="T731" s="1895"/>
      <c r="U731" s="1895"/>
      <c r="V731" s="1895"/>
      <c r="W731" s="1895"/>
      <c r="X731" s="1895"/>
      <c r="Y731" s="1895"/>
      <c r="Z731" s="1895"/>
      <c r="AA731" s="1895"/>
      <c r="AB731" s="610"/>
      <c r="AC731" s="571"/>
      <c r="AD731" s="571"/>
      <c r="AE731" s="571"/>
      <c r="AF731" s="1975" t="s">
        <v>1579</v>
      </c>
      <c r="AG731" s="1975"/>
      <c r="AH731" s="1975"/>
      <c r="AI731" s="1975"/>
      <c r="AJ731" s="1975"/>
      <c r="AK731" s="1975"/>
      <c r="AL731" s="1975"/>
      <c r="AM731" s="585"/>
      <c r="AN731" s="719"/>
      <c r="AO731" s="30"/>
      <c r="AP731" s="14"/>
    </row>
    <row r="732" spans="1:81" s="605" customFormat="1">
      <c r="A732" s="585"/>
      <c r="B732" s="571"/>
      <c r="C732" s="968"/>
      <c r="D732" s="698"/>
      <c r="E732" s="1895"/>
      <c r="F732" s="1895"/>
      <c r="G732" s="1895"/>
      <c r="H732" s="1895"/>
      <c r="I732" s="1895"/>
      <c r="J732" s="1895"/>
      <c r="K732" s="1895"/>
      <c r="L732" s="1895"/>
      <c r="M732" s="1895"/>
      <c r="N732" s="1895"/>
      <c r="O732" s="1895"/>
      <c r="P732" s="1895"/>
      <c r="Q732" s="1895"/>
      <c r="R732" s="1895"/>
      <c r="S732" s="1895"/>
      <c r="T732" s="1895"/>
      <c r="U732" s="1895"/>
      <c r="V732" s="1895"/>
      <c r="W732" s="1895"/>
      <c r="X732" s="1895"/>
      <c r="Y732" s="1895"/>
      <c r="Z732" s="1895"/>
      <c r="AA732" s="1895"/>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895"/>
      <c r="F733" s="1895"/>
      <c r="G733" s="1895"/>
      <c r="H733" s="1895"/>
      <c r="I733" s="1895"/>
      <c r="J733" s="1895"/>
      <c r="K733" s="1895"/>
      <c r="L733" s="1895"/>
      <c r="M733" s="1895"/>
      <c r="N733" s="1895"/>
      <c r="O733" s="1895"/>
      <c r="P733" s="1895"/>
      <c r="Q733" s="1895"/>
      <c r="R733" s="1895"/>
      <c r="S733" s="1895"/>
      <c r="T733" s="1895"/>
      <c r="U733" s="1895"/>
      <c r="V733" s="1895"/>
      <c r="W733" s="1895"/>
      <c r="X733" s="1895"/>
      <c r="Y733" s="1895"/>
      <c r="Z733" s="1895"/>
      <c r="AA733" s="1895"/>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895"/>
      <c r="F734" s="1895"/>
      <c r="G734" s="1895"/>
      <c r="H734" s="1895"/>
      <c r="I734" s="1895"/>
      <c r="J734" s="1895"/>
      <c r="K734" s="1895"/>
      <c r="L734" s="1895"/>
      <c r="M734" s="1895"/>
      <c r="N734" s="1895"/>
      <c r="O734" s="1895"/>
      <c r="P734" s="1895"/>
      <c r="Q734" s="1895"/>
      <c r="R734" s="1895"/>
      <c r="S734" s="1895"/>
      <c r="T734" s="1895"/>
      <c r="U734" s="1895"/>
      <c r="V734" s="1895"/>
      <c r="W734" s="1895"/>
      <c r="X734" s="1895"/>
      <c r="Y734" s="1895"/>
      <c r="Z734" s="1895"/>
      <c r="AA734" s="1895"/>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1571</v>
      </c>
      <c r="E736" s="973"/>
      <c r="F736" s="973"/>
      <c r="G736" s="973"/>
      <c r="H736" s="1919" t="s">
        <v>601</v>
      </c>
      <c r="I736" s="1919"/>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1615</v>
      </c>
      <c r="AJ738" s="1902">
        <f>VLOOKUP($H$736,$AO$669:$AP$671,2,FALSE)</f>
        <v>0</v>
      </c>
      <c r="AK738" s="1904"/>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1605</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895" t="s">
        <v>1616</v>
      </c>
      <c r="F742" s="1895"/>
      <c r="G742" s="1895"/>
      <c r="H742" s="1895"/>
      <c r="I742" s="1895"/>
      <c r="J742" s="1895"/>
      <c r="K742" s="1895"/>
      <c r="L742" s="1895"/>
      <c r="M742" s="1895"/>
      <c r="N742" s="1895"/>
      <c r="O742" s="1895"/>
      <c r="P742" s="1895"/>
      <c r="Q742" s="1895"/>
      <c r="R742" s="1895"/>
      <c r="S742" s="1895"/>
      <c r="T742" s="1895"/>
      <c r="U742" s="1895"/>
      <c r="V742" s="1895"/>
      <c r="W742" s="1895"/>
      <c r="X742" s="1895"/>
      <c r="Y742" s="1895"/>
      <c r="Z742" s="1895"/>
      <c r="AA742" s="1895"/>
      <c r="AB742" s="1895"/>
      <c r="AC742" s="571"/>
      <c r="AD742" s="571"/>
      <c r="AE742" s="571"/>
      <c r="AF742" s="1975" t="s">
        <v>1579</v>
      </c>
      <c r="AG742" s="1975"/>
      <c r="AH742" s="1975"/>
      <c r="AI742" s="1975"/>
      <c r="AJ742" s="1975"/>
      <c r="AK742" s="1975"/>
      <c r="AL742" s="1975"/>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895"/>
      <c r="F743" s="1895"/>
      <c r="G743" s="1895"/>
      <c r="H743" s="1895"/>
      <c r="I743" s="1895"/>
      <c r="J743" s="1895"/>
      <c r="K743" s="1895"/>
      <c r="L743" s="1895"/>
      <c r="M743" s="1895"/>
      <c r="N743" s="1895"/>
      <c r="O743" s="1895"/>
      <c r="P743" s="1895"/>
      <c r="Q743" s="1895"/>
      <c r="R743" s="1895"/>
      <c r="S743" s="1895"/>
      <c r="T743" s="1895"/>
      <c r="U743" s="1895"/>
      <c r="V743" s="1895"/>
      <c r="W743" s="1895"/>
      <c r="X743" s="1895"/>
      <c r="Y743" s="1895"/>
      <c r="Z743" s="1895"/>
      <c r="AA743" s="1895"/>
      <c r="AB743" s="1895"/>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895" t="s">
        <v>1617</v>
      </c>
      <c r="F745" s="1895"/>
      <c r="G745" s="1895"/>
      <c r="H745" s="1895"/>
      <c r="I745" s="1895"/>
      <c r="J745" s="1895"/>
      <c r="K745" s="1895"/>
      <c r="L745" s="1895"/>
      <c r="M745" s="1895"/>
      <c r="N745" s="1895"/>
      <c r="O745" s="1895"/>
      <c r="P745" s="1895"/>
      <c r="Q745" s="1895"/>
      <c r="R745" s="1895"/>
      <c r="S745" s="1895"/>
      <c r="T745" s="1895"/>
      <c r="U745" s="1895"/>
      <c r="V745" s="1895"/>
      <c r="W745" s="1895"/>
      <c r="X745" s="1895"/>
      <c r="Y745" s="1895"/>
      <c r="Z745" s="1895"/>
      <c r="AA745" s="1895"/>
      <c r="AB745" s="1895"/>
      <c r="AC745" s="571"/>
      <c r="AD745" s="571"/>
      <c r="AE745" s="571"/>
      <c r="AF745" s="1975" t="s">
        <v>1596</v>
      </c>
      <c r="AG745" s="1975"/>
      <c r="AH745" s="1975"/>
      <c r="AI745" s="1975"/>
      <c r="AJ745" s="1975"/>
      <c r="AK745" s="1975"/>
      <c r="AL745" s="1975"/>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895"/>
      <c r="F746" s="1895"/>
      <c r="G746" s="1895"/>
      <c r="H746" s="1895"/>
      <c r="I746" s="1895"/>
      <c r="J746" s="1895"/>
      <c r="K746" s="1895"/>
      <c r="L746" s="1895"/>
      <c r="M746" s="1895"/>
      <c r="N746" s="1895"/>
      <c r="O746" s="1895"/>
      <c r="P746" s="1895"/>
      <c r="Q746" s="1895"/>
      <c r="R746" s="1895"/>
      <c r="S746" s="1895"/>
      <c r="T746" s="1895"/>
      <c r="U746" s="1895"/>
      <c r="V746" s="1895"/>
      <c r="W746" s="1895"/>
      <c r="X746" s="1895"/>
      <c r="Y746" s="1895"/>
      <c r="Z746" s="1895"/>
      <c r="AA746" s="1895"/>
      <c r="AB746" s="1895"/>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1571</v>
      </c>
      <c r="E748" s="973"/>
      <c r="F748" s="973"/>
      <c r="G748" s="973"/>
      <c r="H748" s="1919" t="s">
        <v>601</v>
      </c>
      <c r="I748" s="1919"/>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5"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1618</v>
      </c>
      <c r="AJ750" s="1902">
        <f>VLOOKUP($H$748,$AO$683:$AP$685,2,FALSE)</f>
        <v>0</v>
      </c>
      <c r="AK750" s="1904"/>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1607</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65" customHeight="1">
      <c r="A754" s="585"/>
      <c r="B754" s="651"/>
      <c r="C754" s="977"/>
      <c r="D754" s="698" t="s">
        <v>698</v>
      </c>
      <c r="E754" s="1895" t="s">
        <v>1951</v>
      </c>
      <c r="F754" s="1895"/>
      <c r="G754" s="1895"/>
      <c r="H754" s="1895"/>
      <c r="I754" s="1895"/>
      <c r="J754" s="1895"/>
      <c r="K754" s="1895"/>
      <c r="L754" s="1895"/>
      <c r="M754" s="1895"/>
      <c r="N754" s="1895"/>
      <c r="O754" s="1895"/>
      <c r="P754" s="1895"/>
      <c r="Q754" s="1895"/>
      <c r="R754" s="1895"/>
      <c r="S754" s="1895"/>
      <c r="T754" s="1895"/>
      <c r="U754" s="1895"/>
      <c r="V754" s="1895"/>
      <c r="W754" s="1895"/>
      <c r="X754" s="1895"/>
      <c r="Y754" s="1895"/>
      <c r="Z754" s="1895"/>
      <c r="AA754" s="1895"/>
      <c r="AB754" s="1895"/>
      <c r="AC754" s="1895"/>
      <c r="AD754" s="1895"/>
      <c r="AE754" s="571"/>
      <c r="AF754" s="1975" t="s">
        <v>1579</v>
      </c>
      <c r="AG754" s="1975"/>
      <c r="AH754" s="1975"/>
      <c r="AI754" s="1975"/>
      <c r="AJ754" s="1975"/>
      <c r="AK754" s="1975"/>
      <c r="AL754" s="1975"/>
      <c r="AM754" s="648"/>
      <c r="AN754" s="719"/>
    </row>
    <row r="755" spans="1:81" s="605" customFormat="1" ht="13.65" customHeight="1">
      <c r="A755" s="585"/>
      <c r="B755" s="651"/>
      <c r="C755" s="977"/>
      <c r="D755" s="698"/>
      <c r="E755" s="1895"/>
      <c r="F755" s="1895"/>
      <c r="G755" s="1895"/>
      <c r="H755" s="1895"/>
      <c r="I755" s="1895"/>
      <c r="J755" s="1895"/>
      <c r="K755" s="1895"/>
      <c r="L755" s="1895"/>
      <c r="M755" s="1895"/>
      <c r="N755" s="1895"/>
      <c r="O755" s="1895"/>
      <c r="P755" s="1895"/>
      <c r="Q755" s="1895"/>
      <c r="R755" s="1895"/>
      <c r="S755" s="1895"/>
      <c r="T755" s="1895"/>
      <c r="U755" s="1895"/>
      <c r="V755" s="1895"/>
      <c r="W755" s="1895"/>
      <c r="X755" s="1895"/>
      <c r="Y755" s="1895"/>
      <c r="Z755" s="1895"/>
      <c r="AA755" s="1895"/>
      <c r="AB755" s="1895"/>
      <c r="AC755" s="1895"/>
      <c r="AD755" s="1895"/>
      <c r="AE755" s="571"/>
      <c r="AF755" s="629"/>
      <c r="AG755" s="629"/>
      <c r="AH755" s="629"/>
      <c r="AI755" s="629"/>
      <c r="AJ755" s="629"/>
      <c r="AK755" s="629"/>
      <c r="AL755" s="629"/>
      <c r="AM755" s="648"/>
      <c r="AN755" s="719"/>
    </row>
    <row r="756" spans="1:81" s="605" customFormat="1">
      <c r="A756" s="585"/>
      <c r="B756" s="651"/>
      <c r="C756" s="977"/>
      <c r="D756" s="698"/>
      <c r="E756" s="1895"/>
      <c r="F756" s="1895"/>
      <c r="G756" s="1895"/>
      <c r="H756" s="1895"/>
      <c r="I756" s="1895"/>
      <c r="J756" s="1895"/>
      <c r="K756" s="1895"/>
      <c r="L756" s="1895"/>
      <c r="M756" s="1895"/>
      <c r="N756" s="1895"/>
      <c r="O756" s="1895"/>
      <c r="P756" s="1895"/>
      <c r="Q756" s="1895"/>
      <c r="R756" s="1895"/>
      <c r="S756" s="1895"/>
      <c r="T756" s="1895"/>
      <c r="U756" s="1895"/>
      <c r="V756" s="1895"/>
      <c r="W756" s="1895"/>
      <c r="X756" s="1895"/>
      <c r="Y756" s="1895"/>
      <c r="Z756" s="1895"/>
      <c r="AA756" s="1895"/>
      <c r="AB756" s="1895"/>
      <c r="AC756" s="1895"/>
      <c r="AD756" s="1895"/>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895"/>
      <c r="F757" s="1895"/>
      <c r="G757" s="1895"/>
      <c r="H757" s="1895"/>
      <c r="I757" s="1895"/>
      <c r="J757" s="1895"/>
      <c r="K757" s="1895"/>
      <c r="L757" s="1895"/>
      <c r="M757" s="1895"/>
      <c r="N757" s="1895"/>
      <c r="O757" s="1895"/>
      <c r="P757" s="1895"/>
      <c r="Q757" s="1895"/>
      <c r="R757" s="1895"/>
      <c r="S757" s="1895"/>
      <c r="T757" s="1895"/>
      <c r="U757" s="1895"/>
      <c r="V757" s="1895"/>
      <c r="W757" s="1895"/>
      <c r="X757" s="1895"/>
      <c r="Y757" s="1895"/>
      <c r="Z757" s="1895"/>
      <c r="AA757" s="1895"/>
      <c r="AB757" s="1895"/>
      <c r="AC757" s="1895"/>
      <c r="AD757" s="1895"/>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07" t="s">
        <v>1956</v>
      </c>
      <c r="F759" s="2007"/>
      <c r="G759" s="2007"/>
      <c r="H759" s="2007"/>
      <c r="I759" s="2007"/>
      <c r="J759" s="2007"/>
      <c r="K759" s="2007"/>
      <c r="L759" s="2007"/>
      <c r="M759" s="2007"/>
      <c r="N759" s="2007"/>
      <c r="O759" s="2007"/>
      <c r="P759" s="2007"/>
      <c r="Q759" s="2007"/>
      <c r="R759" s="2007"/>
      <c r="S759" s="2007"/>
      <c r="T759" s="2007"/>
      <c r="U759" s="2007"/>
      <c r="V759" s="2007"/>
      <c r="W759" s="2007"/>
      <c r="X759" s="2007"/>
      <c r="Y759" s="2007"/>
      <c r="Z759" s="2007"/>
      <c r="AA759" s="2007"/>
      <c r="AB759" s="2007"/>
      <c r="AC759" s="2007"/>
      <c r="AD759" s="2007"/>
      <c r="AE759" s="571"/>
      <c r="AF759" s="1975" t="s">
        <v>1523</v>
      </c>
      <c r="AG759" s="1975"/>
      <c r="AH759" s="1975"/>
      <c r="AI759" s="1975"/>
      <c r="AJ759" s="1975"/>
      <c r="AK759" s="1975"/>
      <c r="AL759" s="1975"/>
      <c r="AM759" s="648"/>
      <c r="AN759" s="632"/>
    </row>
    <row r="760" spans="1:81" s="585" customFormat="1" ht="12.75" customHeight="1">
      <c r="B760" s="651"/>
      <c r="C760" s="977"/>
      <c r="D760" s="698"/>
      <c r="E760" s="2007"/>
      <c r="F760" s="2007"/>
      <c r="G760" s="2007"/>
      <c r="H760" s="2007"/>
      <c r="I760" s="2007"/>
      <c r="J760" s="2007"/>
      <c r="K760" s="2007"/>
      <c r="L760" s="2007"/>
      <c r="M760" s="2007"/>
      <c r="N760" s="2007"/>
      <c r="O760" s="2007"/>
      <c r="P760" s="2007"/>
      <c r="Q760" s="2007"/>
      <c r="R760" s="2007"/>
      <c r="S760" s="2007"/>
      <c r="T760" s="2007"/>
      <c r="U760" s="2007"/>
      <c r="V760" s="2007"/>
      <c r="W760" s="2007"/>
      <c r="X760" s="2007"/>
      <c r="Y760" s="2007"/>
      <c r="Z760" s="2007"/>
      <c r="AA760" s="2007"/>
      <c r="AB760" s="2007"/>
      <c r="AC760" s="2007"/>
      <c r="AD760" s="2007"/>
      <c r="AE760" s="629"/>
      <c r="AF760" s="629"/>
      <c r="AG760" s="629"/>
      <c r="AH760" s="629"/>
      <c r="AI760" s="629"/>
      <c r="AJ760" s="629"/>
      <c r="AK760" s="629"/>
      <c r="AL760" s="629"/>
      <c r="AM760" s="648"/>
      <c r="AN760" s="632"/>
    </row>
    <row r="761" spans="1:81" s="585" customFormat="1" ht="12.75" customHeight="1">
      <c r="B761" s="651"/>
      <c r="C761" s="977"/>
      <c r="D761" s="698"/>
      <c r="E761" s="2007"/>
      <c r="F761" s="2007"/>
      <c r="G761" s="2007"/>
      <c r="H761" s="2007"/>
      <c r="I761" s="2007"/>
      <c r="J761" s="2007"/>
      <c r="K761" s="2007"/>
      <c r="L761" s="2007"/>
      <c r="M761" s="2007"/>
      <c r="N761" s="2007"/>
      <c r="O761" s="2007"/>
      <c r="P761" s="2007"/>
      <c r="Q761" s="2007"/>
      <c r="R761" s="2007"/>
      <c r="S761" s="2007"/>
      <c r="T761" s="2007"/>
      <c r="U761" s="2007"/>
      <c r="V761" s="2007"/>
      <c r="W761" s="2007"/>
      <c r="X761" s="2007"/>
      <c r="Y761" s="2007"/>
      <c r="Z761" s="2007"/>
      <c r="AA761" s="2007"/>
      <c r="AB761" s="2007"/>
      <c r="AC761" s="2007"/>
      <c r="AD761" s="2007"/>
      <c r="AE761" s="629"/>
      <c r="AF761" s="629"/>
      <c r="AG761" s="629"/>
      <c r="AH761" s="629"/>
      <c r="AI761" s="629"/>
      <c r="AJ761" s="629"/>
      <c r="AK761" s="629"/>
      <c r="AL761" s="629"/>
      <c r="AM761" s="648"/>
      <c r="AN761" s="632"/>
    </row>
    <row r="762" spans="1:81" s="585" customFormat="1" ht="12.75" customHeight="1">
      <c r="B762" s="651"/>
      <c r="C762" s="977"/>
      <c r="D762" s="698"/>
      <c r="E762" s="2007"/>
      <c r="F762" s="2007"/>
      <c r="G762" s="2007"/>
      <c r="H762" s="2007"/>
      <c r="I762" s="2007"/>
      <c r="J762" s="2007"/>
      <c r="K762" s="2007"/>
      <c r="L762" s="2007"/>
      <c r="M762" s="2007"/>
      <c r="N762" s="2007"/>
      <c r="O762" s="2007"/>
      <c r="P762" s="2007"/>
      <c r="Q762" s="2007"/>
      <c r="R762" s="2007"/>
      <c r="S762" s="2007"/>
      <c r="T762" s="2007"/>
      <c r="U762" s="2007"/>
      <c r="V762" s="2007"/>
      <c r="W762" s="2007"/>
      <c r="X762" s="2007"/>
      <c r="Y762" s="2007"/>
      <c r="Z762" s="2007"/>
      <c r="AA762" s="2007"/>
      <c r="AB762" s="2007"/>
      <c r="AC762" s="2007"/>
      <c r="AD762" s="2007"/>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1571</v>
      </c>
      <c r="E764" s="973"/>
      <c r="F764" s="973"/>
      <c r="G764" s="973"/>
      <c r="H764" s="1919" t="s">
        <v>698</v>
      </c>
      <c r="I764" s="1919"/>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1619</v>
      </c>
      <c r="AJ766" s="1902">
        <f>VLOOKUP($H$764,$AP$705:$AQ$707,2,FALSE)</f>
        <v>2</v>
      </c>
      <c r="AK766" s="1904"/>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1620</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65" customHeight="1">
      <c r="A770" s="585"/>
      <c r="B770" s="651"/>
      <c r="C770" s="977"/>
      <c r="D770" s="698" t="s">
        <v>698</v>
      </c>
      <c r="E770" s="1895" t="s">
        <v>2427</v>
      </c>
      <c r="F770" s="1895"/>
      <c r="G770" s="1895"/>
      <c r="H770" s="1895"/>
      <c r="I770" s="1895"/>
      <c r="J770" s="1895"/>
      <c r="K770" s="1895"/>
      <c r="L770" s="1895"/>
      <c r="M770" s="1895"/>
      <c r="N770" s="1895"/>
      <c r="O770" s="1895"/>
      <c r="P770" s="1895"/>
      <c r="Q770" s="1895"/>
      <c r="R770" s="1895"/>
      <c r="S770" s="1895"/>
      <c r="T770" s="1895"/>
      <c r="U770" s="1895"/>
      <c r="V770" s="1895"/>
      <c r="W770" s="1895"/>
      <c r="X770" s="1895"/>
      <c r="Y770" s="1895"/>
      <c r="Z770" s="1895"/>
      <c r="AA770" s="1895"/>
      <c r="AB770" s="1895"/>
      <c r="AC770" s="1895"/>
      <c r="AD770" s="1895"/>
      <c r="AE770" s="571"/>
      <c r="AF770" s="1975" t="s">
        <v>1523</v>
      </c>
      <c r="AG770" s="1975"/>
      <c r="AH770" s="1975"/>
      <c r="AI770" s="1975"/>
      <c r="AJ770" s="1975"/>
      <c r="AK770" s="1975"/>
      <c r="AL770" s="1975"/>
      <c r="AM770" s="648"/>
      <c r="AN770" s="719"/>
      <c r="AO770" s="646" t="s">
        <v>555</v>
      </c>
      <c r="AP770" s="585">
        <v>3</v>
      </c>
      <c r="AT770" s="709"/>
      <c r="AU770" s="709"/>
      <c r="AV770" s="709"/>
      <c r="AW770" s="709"/>
      <c r="AX770" s="709"/>
      <c r="AY770" s="709"/>
      <c r="AZ770" s="709"/>
    </row>
    <row r="771" spans="1:81" s="605" customFormat="1" ht="13.65" customHeight="1">
      <c r="A771" s="585"/>
      <c r="B771" s="651"/>
      <c r="C771" s="977"/>
      <c r="D771" s="698"/>
      <c r="E771" s="1895"/>
      <c r="F771" s="1895"/>
      <c r="G771" s="1895"/>
      <c r="H771" s="1895"/>
      <c r="I771" s="1895"/>
      <c r="J771" s="1895"/>
      <c r="K771" s="1895"/>
      <c r="L771" s="1895"/>
      <c r="M771" s="1895"/>
      <c r="N771" s="1895"/>
      <c r="O771" s="1895"/>
      <c r="P771" s="1895"/>
      <c r="Q771" s="1895"/>
      <c r="R771" s="1895"/>
      <c r="S771" s="1895"/>
      <c r="T771" s="1895"/>
      <c r="U771" s="1895"/>
      <c r="V771" s="1895"/>
      <c r="W771" s="1895"/>
      <c r="X771" s="1895"/>
      <c r="Y771" s="1895"/>
      <c r="Z771" s="1895"/>
      <c r="AA771" s="1895"/>
      <c r="AB771" s="1895"/>
      <c r="AC771" s="1895"/>
      <c r="AD771" s="1895"/>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895"/>
      <c r="F772" s="1895"/>
      <c r="G772" s="1895"/>
      <c r="H772" s="1895"/>
      <c r="I772" s="1895"/>
      <c r="J772" s="1895"/>
      <c r="K772" s="1895"/>
      <c r="L772" s="1895"/>
      <c r="M772" s="1895"/>
      <c r="N772" s="1895"/>
      <c r="O772" s="1895"/>
      <c r="P772" s="1895"/>
      <c r="Q772" s="1895"/>
      <c r="R772" s="1895"/>
      <c r="S772" s="1895"/>
      <c r="T772" s="1895"/>
      <c r="U772" s="1895"/>
      <c r="V772" s="1895"/>
      <c r="W772" s="1895"/>
      <c r="X772" s="1895"/>
      <c r="Y772" s="1895"/>
      <c r="Z772" s="1895"/>
      <c r="AA772" s="1895"/>
      <c r="AB772" s="1895"/>
      <c r="AC772" s="1895"/>
      <c r="AD772" s="1895"/>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895"/>
      <c r="F773" s="1895"/>
      <c r="G773" s="1895"/>
      <c r="H773" s="1895"/>
      <c r="I773" s="1895"/>
      <c r="J773" s="1895"/>
      <c r="K773" s="1895"/>
      <c r="L773" s="1895"/>
      <c r="M773" s="1895"/>
      <c r="N773" s="1895"/>
      <c r="O773" s="1895"/>
      <c r="P773" s="1895"/>
      <c r="Q773" s="1895"/>
      <c r="R773" s="1895"/>
      <c r="S773" s="1895"/>
      <c r="T773" s="1895"/>
      <c r="U773" s="1895"/>
      <c r="V773" s="1895"/>
      <c r="W773" s="1895"/>
      <c r="X773" s="1895"/>
      <c r="Y773" s="1895"/>
      <c r="Z773" s="1895"/>
      <c r="AA773" s="1895"/>
      <c r="AB773" s="1895"/>
      <c r="AC773" s="1895"/>
      <c r="AD773" s="1895"/>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1571</v>
      </c>
      <c r="E775" s="973"/>
      <c r="F775" s="973"/>
      <c r="G775" s="973"/>
      <c r="H775" s="1919" t="s">
        <v>555</v>
      </c>
      <c r="I775" s="1919"/>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1621</v>
      </c>
      <c r="AJ777" s="1902">
        <f>VLOOKUP($H$775,$AO$769:$AP$770,2,FALSE)</f>
        <v>3</v>
      </c>
      <c r="AK777" s="1904"/>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1622</v>
      </c>
      <c r="AK779" s="1902">
        <f>IF(($AJ$610+$AJ$629+$AJ$641+$AJ$676+$AJ$696+$AJ$710+$AJ$722+$AJ$738+$AJ$750+$AJ$766+AJ777)&gt;10,10,($AJ$610+$AJ$629+$AJ$641+$AJ$676+$AJ$696+$AJ$710+$AJ$722+$AJ$738+$AJ$750+$AJ$766+AJ777))</f>
        <v>10</v>
      </c>
      <c r="AL779" s="1903"/>
      <c r="AM779" s="1904"/>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66" t="s">
        <v>1744</v>
      </c>
      <c r="B782" s="1967"/>
      <c r="C782" s="1967"/>
      <c r="D782" s="1967"/>
      <c r="E782" s="1967"/>
      <c r="F782" s="1967"/>
      <c r="G782" s="1967"/>
      <c r="H782" s="1967"/>
      <c r="I782" s="1967"/>
      <c r="J782" s="1967"/>
      <c r="K782" s="1967"/>
      <c r="L782" s="1967"/>
      <c r="M782" s="1967"/>
      <c r="N782" s="1967"/>
      <c r="O782" s="1967"/>
      <c r="P782" s="1967"/>
      <c r="Q782" s="1967"/>
      <c r="R782" s="1967"/>
      <c r="S782" s="1967"/>
      <c r="T782" s="1967"/>
      <c r="U782" s="1967"/>
      <c r="V782" s="1967"/>
      <c r="W782" s="1967"/>
      <c r="X782" s="1967"/>
      <c r="Y782" s="1967"/>
      <c r="Z782" s="1967"/>
      <c r="AA782" s="1967"/>
      <c r="AB782" s="1967"/>
      <c r="AC782" s="1967"/>
      <c r="AD782" s="1967"/>
      <c r="AE782" s="1967"/>
      <c r="AF782" s="1967"/>
      <c r="AG782" s="1967"/>
      <c r="AH782" s="1967"/>
      <c r="AI782" s="1967"/>
      <c r="AJ782" s="1967"/>
      <c r="AK782" s="1967"/>
      <c r="AL782" s="1967"/>
      <c r="AM782" s="1967"/>
    </row>
    <row r="783" spans="1:81">
      <c r="A783" s="1968"/>
      <c r="B783" s="1968"/>
      <c r="C783" s="1968"/>
      <c r="D783" s="1968"/>
      <c r="E783" s="1968"/>
      <c r="F783" s="1968"/>
      <c r="G783" s="1968"/>
      <c r="H783" s="1968"/>
      <c r="I783" s="1968"/>
      <c r="J783" s="1968"/>
      <c r="K783" s="1968"/>
      <c r="L783" s="1968"/>
      <c r="M783" s="1968"/>
      <c r="N783" s="1968"/>
      <c r="O783" s="1968"/>
      <c r="P783" s="1968"/>
      <c r="Q783" s="1968"/>
      <c r="R783" s="1968"/>
      <c r="S783" s="1968"/>
      <c r="T783" s="1968"/>
      <c r="U783" s="1968"/>
      <c r="V783" s="1968"/>
      <c r="W783" s="1968"/>
      <c r="X783" s="1968"/>
      <c r="Y783" s="1968"/>
      <c r="Z783" s="1968"/>
      <c r="AA783" s="1968"/>
      <c r="AB783" s="1968"/>
      <c r="AC783" s="1968"/>
      <c r="AD783" s="1968"/>
      <c r="AE783" s="1968"/>
      <c r="AF783" s="1968"/>
      <c r="AG783" s="1968"/>
      <c r="AH783" s="1968"/>
      <c r="AI783" s="1968"/>
      <c r="AJ783" s="1968"/>
      <c r="AK783" s="1968"/>
      <c r="AL783" s="1968"/>
      <c r="AM783" s="1968"/>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05"/>
      <c r="B785" s="1905"/>
      <c r="C785" s="1905"/>
      <c r="D785" s="1905"/>
      <c r="E785" s="1905"/>
      <c r="F785" s="1905"/>
      <c r="G785" s="1905"/>
      <c r="H785" s="1905"/>
      <c r="I785" s="1905"/>
      <c r="J785" s="1905"/>
      <c r="K785" s="1905"/>
      <c r="L785" s="1905"/>
      <c r="M785" s="1905"/>
      <c r="N785" s="1905"/>
      <c r="O785" s="1905"/>
      <c r="P785" s="1905"/>
      <c r="Q785" s="1905"/>
      <c r="R785" s="1905"/>
      <c r="S785" s="1905"/>
      <c r="T785" s="1905"/>
      <c r="U785" s="1905"/>
      <c r="V785" s="1905"/>
      <c r="W785" s="1905"/>
      <c r="X785" s="1905"/>
      <c r="Y785" s="1905"/>
      <c r="Z785" s="1905"/>
      <c r="AA785" s="1905"/>
      <c r="AB785" s="1905"/>
      <c r="AC785" s="1905"/>
      <c r="AD785" s="1905"/>
      <c r="AE785" s="1905"/>
      <c r="AF785" s="1905"/>
      <c r="AG785" s="1905"/>
      <c r="AH785" s="1905"/>
      <c r="AI785" s="1905"/>
      <c r="AJ785" s="1905"/>
      <c r="AK785" s="1905"/>
      <c r="AL785" s="1905"/>
      <c r="AM785" s="1905"/>
      <c r="AP785" s="852"/>
      <c r="AQ785" s="852"/>
    </row>
    <row r="786" spans="1:81">
      <c r="A786" s="1905"/>
      <c r="B786" s="1905"/>
      <c r="C786" s="1905"/>
      <c r="D786" s="1905"/>
      <c r="E786" s="1905"/>
      <c r="F786" s="1905"/>
      <c r="G786" s="1905"/>
      <c r="H786" s="1905"/>
      <c r="I786" s="1905"/>
      <c r="J786" s="1905"/>
      <c r="K786" s="1905"/>
      <c r="L786" s="1905"/>
      <c r="M786" s="1905"/>
      <c r="N786" s="1905"/>
      <c r="O786" s="1905"/>
      <c r="P786" s="1905"/>
      <c r="Q786" s="1905"/>
      <c r="R786" s="1905"/>
      <c r="S786" s="1905"/>
      <c r="T786" s="1905"/>
      <c r="U786" s="1905"/>
      <c r="V786" s="1905"/>
      <c r="W786" s="1905"/>
      <c r="X786" s="1905"/>
      <c r="Y786" s="1905"/>
      <c r="Z786" s="1905"/>
      <c r="AA786" s="1905"/>
      <c r="AB786" s="1905"/>
      <c r="AC786" s="1905"/>
      <c r="AD786" s="1905"/>
      <c r="AE786" s="1905"/>
      <c r="AF786" s="1905"/>
      <c r="AG786" s="1905"/>
      <c r="AH786" s="1905"/>
      <c r="AI786" s="1905"/>
      <c r="AJ786" s="1905"/>
      <c r="AK786" s="1905"/>
      <c r="AL786" s="1905"/>
      <c r="AM786" s="1905"/>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69" t="s">
        <v>1745</v>
      </c>
      <c r="U787" s="1970"/>
      <c r="V787" s="1970"/>
      <c r="W787" s="1970"/>
      <c r="X787" s="1970"/>
      <c r="Y787" s="1971"/>
      <c r="Z787" s="1969" t="s">
        <v>1746</v>
      </c>
      <c r="AA787" s="1970"/>
      <c r="AB787" s="1970"/>
      <c r="AC787" s="1970"/>
      <c r="AD787" s="1970"/>
      <c r="AE787" s="1971"/>
      <c r="AF787" s="1969" t="s">
        <v>1747</v>
      </c>
      <c r="AG787" s="1970"/>
      <c r="AH787" s="1970"/>
      <c r="AI787" s="1970"/>
      <c r="AJ787" s="1970"/>
      <c r="AK787" s="1971"/>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72"/>
      <c r="U788" s="1973"/>
      <c r="V788" s="1973"/>
      <c r="W788" s="1973"/>
      <c r="X788" s="1973"/>
      <c r="Y788" s="1974"/>
      <c r="Z788" s="1972"/>
      <c r="AA788" s="1973"/>
      <c r="AB788" s="1973"/>
      <c r="AC788" s="1973"/>
      <c r="AD788" s="1973"/>
      <c r="AE788" s="1974"/>
      <c r="AF788" s="1972"/>
      <c r="AG788" s="1973"/>
      <c r="AH788" s="1973"/>
      <c r="AI788" s="1973"/>
      <c r="AJ788" s="1973"/>
      <c r="AK788" s="1974"/>
      <c r="AL788" s="854"/>
      <c r="AM788" s="631"/>
      <c r="AO788" s="852"/>
      <c r="AP788" s="852"/>
      <c r="AQ788" s="852"/>
    </row>
    <row r="789" spans="1:81">
      <c r="A789" s="855" t="s">
        <v>770</v>
      </c>
      <c r="B789" s="1926" t="s">
        <v>1475</v>
      </c>
      <c r="C789" s="1926"/>
      <c r="D789" s="1926"/>
      <c r="E789" s="1926"/>
      <c r="F789" s="1926"/>
      <c r="G789" s="1926"/>
      <c r="H789" s="1926"/>
      <c r="I789" s="1926"/>
      <c r="J789" s="1926"/>
      <c r="K789" s="1926"/>
      <c r="L789" s="1926"/>
      <c r="M789" s="1926"/>
      <c r="N789" s="1926"/>
      <c r="O789" s="1926"/>
      <c r="P789" s="1926"/>
      <c r="Q789" s="1926"/>
      <c r="R789" s="1926"/>
      <c r="S789" s="1927"/>
      <c r="T789" s="1954">
        <f>AK56</f>
        <v>0</v>
      </c>
      <c r="U789" s="1930"/>
      <c r="V789" s="1930"/>
      <c r="W789" s="1930"/>
      <c r="X789" s="1930"/>
      <c r="Y789" s="1931"/>
      <c r="Z789" s="1929">
        <v>20</v>
      </c>
      <c r="AA789" s="1930"/>
      <c r="AB789" s="1930"/>
      <c r="AC789" s="1930"/>
      <c r="AD789" s="1930"/>
      <c r="AE789" s="1931"/>
      <c r="AF789" s="1915">
        <f>IF(T789&gt;Z789,Z789,T789)</f>
        <v>0</v>
      </c>
      <c r="AG789" s="1915"/>
      <c r="AH789" s="1915"/>
      <c r="AI789" s="1915"/>
      <c r="AJ789" s="1915"/>
      <c r="AK789" s="1915"/>
      <c r="AL789" s="854"/>
      <c r="AM789" s="631"/>
      <c r="AO789" s="852"/>
      <c r="AP789" s="852"/>
      <c r="AQ789" s="852"/>
    </row>
    <row r="790" spans="1:81">
      <c r="A790" s="855" t="s">
        <v>1717</v>
      </c>
      <c r="B790" s="1926" t="s">
        <v>1484</v>
      </c>
      <c r="C790" s="1926"/>
      <c r="D790" s="1926"/>
      <c r="E790" s="1926"/>
      <c r="F790" s="1926"/>
      <c r="G790" s="1926"/>
      <c r="H790" s="1926"/>
      <c r="I790" s="1926"/>
      <c r="J790" s="1926"/>
      <c r="K790" s="1926"/>
      <c r="L790" s="1926"/>
      <c r="M790" s="1926"/>
      <c r="N790" s="1926"/>
      <c r="O790" s="1926"/>
      <c r="P790" s="1926"/>
      <c r="Q790" s="1926"/>
      <c r="R790" s="1926"/>
      <c r="S790" s="1927"/>
      <c r="T790" s="1954">
        <f>AK78</f>
        <v>10</v>
      </c>
      <c r="U790" s="1930"/>
      <c r="V790" s="1930"/>
      <c r="W790" s="1930"/>
      <c r="X790" s="1930"/>
      <c r="Y790" s="1931"/>
      <c r="Z790" s="1929">
        <v>10</v>
      </c>
      <c r="AA790" s="1930"/>
      <c r="AB790" s="1930"/>
      <c r="AC790" s="1930"/>
      <c r="AD790" s="1930"/>
      <c r="AE790" s="1931"/>
      <c r="AF790" s="1915">
        <f>IF(T790&gt;Z790,Z790,T790)</f>
        <v>10</v>
      </c>
      <c r="AG790" s="1915"/>
      <c r="AH790" s="1915"/>
      <c r="AI790" s="1915"/>
      <c r="AJ790" s="1915"/>
      <c r="AK790" s="1915"/>
      <c r="AL790" s="854"/>
      <c r="AM790" s="631"/>
      <c r="AO790" s="852"/>
      <c r="AP790" s="852"/>
      <c r="AQ790" s="852"/>
    </row>
    <row r="791" spans="1:81">
      <c r="A791" s="855" t="s">
        <v>1726</v>
      </c>
      <c r="B791" s="1926" t="s">
        <v>1494</v>
      </c>
      <c r="C791" s="1926"/>
      <c r="D791" s="1926"/>
      <c r="E791" s="1926"/>
      <c r="F791" s="1926"/>
      <c r="G791" s="1926"/>
      <c r="H791" s="1926"/>
      <c r="I791" s="1926"/>
      <c r="J791" s="1926"/>
      <c r="K791" s="1926"/>
      <c r="L791" s="1926"/>
      <c r="M791" s="1926"/>
      <c r="N791" s="1926"/>
      <c r="O791" s="1926"/>
      <c r="P791" s="1926"/>
      <c r="Q791" s="1926"/>
      <c r="R791" s="1926"/>
      <c r="S791" s="1927"/>
      <c r="T791" s="1954">
        <f ca="1">AK103</f>
        <v>20</v>
      </c>
      <c r="U791" s="1930"/>
      <c r="V791" s="1930"/>
      <c r="W791" s="1930"/>
      <c r="X791" s="1930"/>
      <c r="Y791" s="1931"/>
      <c r="Z791" s="1929">
        <v>20</v>
      </c>
      <c r="AA791" s="1930"/>
      <c r="AB791" s="1930"/>
      <c r="AC791" s="1930"/>
      <c r="AD791" s="1930"/>
      <c r="AE791" s="1931"/>
      <c r="AF791" s="1915">
        <f ca="1">IF(T791&gt;Z791,Z791,T791)</f>
        <v>20</v>
      </c>
      <c r="AG791" s="1915"/>
      <c r="AH791" s="1915"/>
      <c r="AI791" s="1915"/>
      <c r="AJ791" s="1915"/>
      <c r="AK791" s="1915"/>
      <c r="AL791" s="854"/>
      <c r="AM791" s="631"/>
      <c r="AO791" s="852"/>
      <c r="AP791" s="852"/>
      <c r="AQ791" s="852"/>
    </row>
    <row r="792" spans="1:81">
      <c r="A792" s="855" t="s">
        <v>1748</v>
      </c>
      <c r="B792" s="1926" t="s">
        <v>1504</v>
      </c>
      <c r="C792" s="1926"/>
      <c r="D792" s="1926"/>
      <c r="E792" s="1926"/>
      <c r="F792" s="1926"/>
      <c r="G792" s="1926"/>
      <c r="H792" s="1926"/>
      <c r="I792" s="1926"/>
      <c r="J792" s="1926"/>
      <c r="K792" s="1926"/>
      <c r="L792" s="1926"/>
      <c r="M792" s="1926"/>
      <c r="N792" s="1926"/>
      <c r="O792" s="1926"/>
      <c r="P792" s="1926"/>
      <c r="Q792" s="1926"/>
      <c r="R792" s="1926"/>
      <c r="S792" s="1927"/>
      <c r="T792" s="1954">
        <f>AK137</f>
        <v>10</v>
      </c>
      <c r="U792" s="1930"/>
      <c r="V792" s="1930"/>
      <c r="W792" s="1930"/>
      <c r="X792" s="1930"/>
      <c r="Y792" s="1931"/>
      <c r="Z792" s="1929">
        <v>10</v>
      </c>
      <c r="AA792" s="1930"/>
      <c r="AB792" s="1930"/>
      <c r="AC792" s="1930"/>
      <c r="AD792" s="1930"/>
      <c r="AE792" s="1931"/>
      <c r="AF792" s="1915">
        <f>IF(T792&gt;Z792,Z792,T792)</f>
        <v>10</v>
      </c>
      <c r="AG792" s="1915"/>
      <c r="AH792" s="1915"/>
      <c r="AI792" s="1915"/>
      <c r="AJ792" s="1915"/>
      <c r="AK792" s="1915"/>
      <c r="AL792" s="854"/>
      <c r="AM792" s="631"/>
      <c r="AO792" s="852"/>
      <c r="AP792" s="852"/>
      <c r="AQ792" s="852"/>
    </row>
    <row r="793" spans="1:81">
      <c r="A793" s="856" t="s">
        <v>1749</v>
      </c>
      <c r="B793" s="1926" t="s">
        <v>1750</v>
      </c>
      <c r="C793" s="1926"/>
      <c r="D793" s="1926"/>
      <c r="E793" s="1926"/>
      <c r="F793" s="1926"/>
      <c r="G793" s="1926"/>
      <c r="H793" s="1926"/>
      <c r="I793" s="1926"/>
      <c r="J793" s="1926"/>
      <c r="K793" s="1926"/>
      <c r="L793" s="1926"/>
      <c r="M793" s="1926"/>
      <c r="N793" s="1926"/>
      <c r="O793" s="1926"/>
      <c r="P793" s="1926"/>
      <c r="Q793" s="1926"/>
      <c r="R793" s="1926"/>
      <c r="S793" s="1927"/>
      <c r="T793" s="1928">
        <f>SUM(T794:Y795)</f>
        <v>10</v>
      </c>
      <c r="U793" s="1928"/>
      <c r="V793" s="1928"/>
      <c r="W793" s="1928"/>
      <c r="X793" s="1928"/>
      <c r="Y793" s="1928"/>
      <c r="Z793" s="1915">
        <v>10</v>
      </c>
      <c r="AA793" s="1915"/>
      <c r="AB793" s="1915"/>
      <c r="AC793" s="1915"/>
      <c r="AD793" s="1915"/>
      <c r="AE793" s="1915"/>
      <c r="AF793" s="1915">
        <f>IF(T793&gt;Z793,Z793,T793)</f>
        <v>10</v>
      </c>
      <c r="AG793" s="1915"/>
      <c r="AH793" s="1915"/>
      <c r="AI793" s="1915"/>
      <c r="AJ793" s="1915"/>
      <c r="AK793" s="1915"/>
      <c r="AL793" s="854"/>
      <c r="AM793" s="631"/>
    </row>
    <row r="794" spans="1:81">
      <c r="A794" s="570"/>
      <c r="B794" s="636"/>
      <c r="C794" s="1932" t="s">
        <v>1751</v>
      </c>
      <c r="D794" s="1932"/>
      <c r="E794" s="1932"/>
      <c r="F794" s="1932"/>
      <c r="G794" s="1932"/>
      <c r="H794" s="1932"/>
      <c r="I794" s="1932"/>
      <c r="J794" s="1932"/>
      <c r="K794" s="1932"/>
      <c r="L794" s="1932"/>
      <c r="M794" s="1932"/>
      <c r="N794" s="1932"/>
      <c r="O794" s="1932"/>
      <c r="P794" s="1932"/>
      <c r="Q794" s="1932"/>
      <c r="R794" s="1932"/>
      <c r="S794" s="1933"/>
      <c r="T794" s="1934">
        <f>AJ155</f>
        <v>7</v>
      </c>
      <c r="U794" s="1934"/>
      <c r="V794" s="1934"/>
      <c r="W794" s="1934"/>
      <c r="X794" s="1934"/>
      <c r="Y794" s="1934"/>
      <c r="Z794" s="1935">
        <v>7</v>
      </c>
      <c r="AA794" s="1935"/>
      <c r="AB794" s="1935"/>
      <c r="AC794" s="1935"/>
      <c r="AD794" s="1935"/>
      <c r="AE794" s="1935"/>
      <c r="AF794" s="1936"/>
      <c r="AG794" s="1936"/>
      <c r="AH794" s="1936"/>
      <c r="AI794" s="1936"/>
      <c r="AJ794" s="1936"/>
      <c r="AK794" s="1936"/>
      <c r="AL794" s="854"/>
      <c r="AM794" s="631"/>
    </row>
    <row r="795" spans="1:81">
      <c r="A795" s="635"/>
      <c r="B795" s="636"/>
      <c r="C795" s="1932" t="s">
        <v>1752</v>
      </c>
      <c r="D795" s="1932"/>
      <c r="E795" s="1932"/>
      <c r="F795" s="1932"/>
      <c r="G795" s="1932"/>
      <c r="H795" s="1932"/>
      <c r="I795" s="1932"/>
      <c r="J795" s="1932"/>
      <c r="K795" s="1932"/>
      <c r="L795" s="1932"/>
      <c r="M795" s="1932"/>
      <c r="N795" s="1932"/>
      <c r="O795" s="1932"/>
      <c r="P795" s="1932"/>
      <c r="Q795" s="1932"/>
      <c r="R795" s="1932"/>
      <c r="S795" s="1933"/>
      <c r="T795" s="1934">
        <f>AJ169</f>
        <v>3</v>
      </c>
      <c r="U795" s="1934"/>
      <c r="V795" s="1934"/>
      <c r="W795" s="1934"/>
      <c r="X795" s="1934"/>
      <c r="Y795" s="1934"/>
      <c r="Z795" s="1935">
        <v>3</v>
      </c>
      <c r="AA795" s="1935"/>
      <c r="AB795" s="1935"/>
      <c r="AC795" s="1935"/>
      <c r="AD795" s="1935"/>
      <c r="AE795" s="1935"/>
      <c r="AF795" s="1936"/>
      <c r="AG795" s="1936"/>
      <c r="AH795" s="1936"/>
      <c r="AI795" s="1936"/>
      <c r="AJ795" s="1936"/>
      <c r="AK795" s="1936"/>
      <c r="AL795" s="854"/>
      <c r="AM795" s="631"/>
      <c r="AO795" s="585"/>
    </row>
    <row r="796" spans="1:81">
      <c r="A796" s="856" t="s">
        <v>1532</v>
      </c>
      <c r="B796" s="1926" t="s">
        <v>1753</v>
      </c>
      <c r="C796" s="1926"/>
      <c r="D796" s="1926"/>
      <c r="E796" s="1926"/>
      <c r="F796" s="1926"/>
      <c r="G796" s="1926"/>
      <c r="H796" s="1926"/>
      <c r="I796" s="1926"/>
      <c r="J796" s="1926"/>
      <c r="K796" s="1926"/>
      <c r="L796" s="1926"/>
      <c r="M796" s="1926"/>
      <c r="N796" s="1926"/>
      <c r="O796" s="1926"/>
      <c r="P796" s="1926"/>
      <c r="Q796" s="1926"/>
      <c r="R796" s="1926"/>
      <c r="S796" s="1927"/>
      <c r="T796" s="1928">
        <f>AK180</f>
        <v>10</v>
      </c>
      <c r="U796" s="1928"/>
      <c r="V796" s="1928"/>
      <c r="W796" s="1928"/>
      <c r="X796" s="1928"/>
      <c r="Y796" s="1928"/>
      <c r="Z796" s="1915">
        <v>10</v>
      </c>
      <c r="AA796" s="1915"/>
      <c r="AB796" s="1915"/>
      <c r="AC796" s="1915"/>
      <c r="AD796" s="1915"/>
      <c r="AE796" s="1915"/>
      <c r="AF796" s="1915">
        <f>IF(T796&gt;Z796,Z796,T796)</f>
        <v>10</v>
      </c>
      <c r="AG796" s="1915"/>
      <c r="AH796" s="1915"/>
      <c r="AI796" s="1915"/>
      <c r="AJ796" s="1915"/>
      <c r="AK796" s="1915"/>
      <c r="AL796" s="854"/>
      <c r="AM796" s="631"/>
    </row>
    <row r="797" spans="1:81">
      <c r="A797" s="855" t="s">
        <v>1541</v>
      </c>
      <c r="B797" s="1926" t="s">
        <v>1542</v>
      </c>
      <c r="C797" s="1926"/>
      <c r="D797" s="1926"/>
      <c r="E797" s="1926"/>
      <c r="F797" s="1926"/>
      <c r="G797" s="1926"/>
      <c r="H797" s="1926"/>
      <c r="I797" s="1926"/>
      <c r="J797" s="1926"/>
      <c r="K797" s="1926"/>
      <c r="L797" s="1926"/>
      <c r="M797" s="1926"/>
      <c r="N797" s="1926"/>
      <c r="O797" s="1926"/>
      <c r="P797" s="1926"/>
      <c r="Q797" s="1926"/>
      <c r="R797" s="1926"/>
      <c r="S797" s="1927"/>
      <c r="T797" s="1928">
        <f>AK262</f>
        <v>8</v>
      </c>
      <c r="U797" s="1928"/>
      <c r="V797" s="1928"/>
      <c r="W797" s="1928"/>
      <c r="X797" s="1928"/>
      <c r="Y797" s="1928"/>
      <c r="Z797" s="1929">
        <v>8</v>
      </c>
      <c r="AA797" s="1930"/>
      <c r="AB797" s="1930"/>
      <c r="AC797" s="1930"/>
      <c r="AD797" s="1930"/>
      <c r="AE797" s="1931"/>
      <c r="AF797" s="1915">
        <f>IF(T797&gt;Z797,Z797,T797)</f>
        <v>8</v>
      </c>
      <c r="AG797" s="1915"/>
      <c r="AH797" s="1915"/>
      <c r="AI797" s="1915"/>
      <c r="AJ797" s="1915"/>
      <c r="AK797" s="1915"/>
      <c r="AL797" s="854"/>
      <c r="AM797" s="631"/>
    </row>
    <row r="798" spans="1:81" s="569" customFormat="1" hidden="1">
      <c r="A798" s="856" t="s">
        <v>599</v>
      </c>
      <c r="B798" s="1926" t="s">
        <v>1754</v>
      </c>
      <c r="C798" s="1926"/>
      <c r="D798" s="1926"/>
      <c r="E798" s="1926"/>
      <c r="F798" s="1926"/>
      <c r="G798" s="1926"/>
      <c r="H798" s="1926"/>
      <c r="I798" s="1926"/>
      <c r="J798" s="1926"/>
      <c r="K798" s="1926"/>
      <c r="L798" s="1926"/>
      <c r="M798" s="1926"/>
      <c r="N798" s="1926"/>
      <c r="O798" s="1926"/>
      <c r="P798" s="1926"/>
      <c r="Q798" s="1926"/>
      <c r="R798" s="1926"/>
      <c r="S798" s="1927"/>
      <c r="T798" s="1928">
        <f>IF(AK524&gt;5,5,AK524)</f>
        <v>0</v>
      </c>
      <c r="U798" s="1928"/>
      <c r="V798" s="1928"/>
      <c r="W798" s="1928"/>
      <c r="X798" s="1928"/>
      <c r="Y798" s="1928"/>
      <c r="Z798" s="1915">
        <v>5</v>
      </c>
      <c r="AA798" s="1915"/>
      <c r="AB798" s="1915"/>
      <c r="AC798" s="1915"/>
      <c r="AD798" s="1915"/>
      <c r="AE798" s="1915"/>
      <c r="AF798" s="1915">
        <f>IF(T798&gt;Z798,5,T798)</f>
        <v>0</v>
      </c>
      <c r="AG798" s="1915"/>
      <c r="AH798" s="1915"/>
      <c r="AI798" s="1915"/>
      <c r="AJ798" s="1915"/>
      <c r="AK798" s="1915"/>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1547</v>
      </c>
      <c r="B799" s="1926" t="s">
        <v>1755</v>
      </c>
      <c r="C799" s="1926"/>
      <c r="D799" s="1926"/>
      <c r="E799" s="1926"/>
      <c r="F799" s="1926"/>
      <c r="G799" s="1926"/>
      <c r="H799" s="1926"/>
      <c r="I799" s="1926"/>
      <c r="J799" s="1926"/>
      <c r="K799" s="1926"/>
      <c r="L799" s="1926"/>
      <c r="M799" s="1926"/>
      <c r="N799" s="1926"/>
      <c r="O799" s="1926"/>
      <c r="P799" s="1926"/>
      <c r="Q799" s="1926"/>
      <c r="R799" s="1926"/>
      <c r="S799" s="1927"/>
      <c r="T799" s="1928">
        <f>AK274</f>
        <v>10</v>
      </c>
      <c r="U799" s="1928"/>
      <c r="V799" s="1928"/>
      <c r="W799" s="1928"/>
      <c r="X799" s="1928"/>
      <c r="Y799" s="1928"/>
      <c r="Z799" s="1915">
        <v>10</v>
      </c>
      <c r="AA799" s="1915"/>
      <c r="AB799" s="1915"/>
      <c r="AC799" s="1915"/>
      <c r="AD799" s="1915"/>
      <c r="AE799" s="1915"/>
      <c r="AF799" s="1937">
        <f>IF(T799&gt;Z799,Z799,T799)</f>
        <v>10</v>
      </c>
      <c r="AG799" s="1938"/>
      <c r="AH799" s="1938"/>
      <c r="AI799" s="1938"/>
      <c r="AJ799" s="1938"/>
      <c r="AK799" s="1939"/>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1551</v>
      </c>
      <c r="B800" s="1926" t="s">
        <v>1552</v>
      </c>
      <c r="C800" s="1926"/>
      <c r="D800" s="1926"/>
      <c r="E800" s="1926"/>
      <c r="F800" s="1926"/>
      <c r="G800" s="1926"/>
      <c r="H800" s="1926"/>
      <c r="I800" s="1926"/>
      <c r="J800" s="1926"/>
      <c r="K800" s="1926"/>
      <c r="L800" s="1926"/>
      <c r="M800" s="1926"/>
      <c r="N800" s="1926"/>
      <c r="O800" s="1926"/>
      <c r="P800" s="1926"/>
      <c r="Q800" s="1926"/>
      <c r="R800" s="1926"/>
      <c r="S800" s="1927"/>
      <c r="T800" s="1928">
        <f>AK327</f>
        <v>10</v>
      </c>
      <c r="U800" s="1928"/>
      <c r="V800" s="1928"/>
      <c r="W800" s="1928"/>
      <c r="X800" s="1928"/>
      <c r="Y800" s="1928"/>
      <c r="Z800" s="1937">
        <v>10</v>
      </c>
      <c r="AA800" s="1938"/>
      <c r="AB800" s="1938"/>
      <c r="AC800" s="1938"/>
      <c r="AD800" s="1938"/>
      <c r="AE800" s="1939"/>
      <c r="AF800" s="1937">
        <f>IF(T800&gt;Z800,Z800,T800)</f>
        <v>10</v>
      </c>
      <c r="AG800" s="1938"/>
      <c r="AH800" s="1938"/>
      <c r="AI800" s="1938"/>
      <c r="AJ800" s="1938"/>
      <c r="AK800" s="1939"/>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1756</v>
      </c>
      <c r="D801" s="859"/>
      <c r="E801" s="859"/>
      <c r="F801" s="859"/>
      <c r="G801" s="859"/>
      <c r="H801" s="859"/>
      <c r="I801" s="859"/>
      <c r="J801" s="859"/>
      <c r="K801" s="859"/>
      <c r="L801" s="859"/>
      <c r="M801" s="859"/>
      <c r="N801" s="859"/>
      <c r="O801" s="859"/>
      <c r="P801" s="859"/>
      <c r="Q801" s="859"/>
      <c r="R801" s="857"/>
      <c r="S801" s="860"/>
      <c r="T801" s="1934">
        <f>AK327</f>
        <v>10</v>
      </c>
      <c r="U801" s="1934"/>
      <c r="V801" s="1934"/>
      <c r="W801" s="1934"/>
      <c r="X801" s="1934"/>
      <c r="Y801" s="1934"/>
      <c r="Z801" s="1902">
        <v>20</v>
      </c>
      <c r="AA801" s="1903"/>
      <c r="AB801" s="1903"/>
      <c r="AC801" s="1903"/>
      <c r="AD801" s="1903"/>
      <c r="AE801" s="1904"/>
      <c r="AF801" s="1936"/>
      <c r="AG801" s="1936"/>
      <c r="AH801" s="1936"/>
      <c r="AI801" s="1936"/>
      <c r="AJ801" s="1936"/>
      <c r="AK801" s="1936"/>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1624</v>
      </c>
      <c r="B802" s="1926" t="s">
        <v>874</v>
      </c>
      <c r="C802" s="1926"/>
      <c r="D802" s="1926"/>
      <c r="E802" s="1926"/>
      <c r="F802" s="1926"/>
      <c r="G802" s="1926"/>
      <c r="H802" s="1926"/>
      <c r="I802" s="1926"/>
      <c r="J802" s="1926"/>
      <c r="K802" s="1926"/>
      <c r="L802" s="1926"/>
      <c r="M802" s="1926"/>
      <c r="N802" s="1926"/>
      <c r="O802" s="1926"/>
      <c r="P802" s="1926"/>
      <c r="Q802" s="1926"/>
      <c r="R802" s="1926"/>
      <c r="S802" s="1927"/>
      <c r="T802" s="1928">
        <f>AK458</f>
        <v>10</v>
      </c>
      <c r="U802" s="1928"/>
      <c r="V802" s="1928"/>
      <c r="W802" s="1928"/>
      <c r="X802" s="1928"/>
      <c r="Y802" s="1928"/>
      <c r="Z802" s="1937">
        <v>10</v>
      </c>
      <c r="AA802" s="1938"/>
      <c r="AB802" s="1938"/>
      <c r="AC802" s="1938"/>
      <c r="AD802" s="1938"/>
      <c r="AE802" s="1939"/>
      <c r="AF802" s="1915">
        <f>IF(T802&gt;Z802,Z802,T802)</f>
        <v>10</v>
      </c>
      <c r="AG802" s="1915"/>
      <c r="AH802" s="1915"/>
      <c r="AI802" s="1915"/>
      <c r="AJ802" s="1915"/>
      <c r="AK802" s="1915"/>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1734</v>
      </c>
      <c r="B803" s="1926" t="s">
        <v>1735</v>
      </c>
      <c r="C803" s="1926"/>
      <c r="D803" s="1926"/>
      <c r="E803" s="1926"/>
      <c r="F803" s="1926"/>
      <c r="G803" s="1926"/>
      <c r="H803" s="1926"/>
      <c r="I803" s="1926"/>
      <c r="J803" s="1926"/>
      <c r="K803" s="1926"/>
      <c r="L803" s="1926"/>
      <c r="M803" s="1926"/>
      <c r="N803" s="1926"/>
      <c r="O803" s="1926"/>
      <c r="P803" s="1926"/>
      <c r="Q803" s="1926"/>
      <c r="R803" s="1926"/>
      <c r="S803" s="1927"/>
      <c r="T803" s="1928">
        <f>AK548</f>
        <v>12</v>
      </c>
      <c r="U803" s="1928"/>
      <c r="V803" s="1928"/>
      <c r="W803" s="1928"/>
      <c r="X803" s="1928"/>
      <c r="Y803" s="1928"/>
      <c r="Z803" s="1937">
        <v>12</v>
      </c>
      <c r="AA803" s="1938"/>
      <c r="AB803" s="1938"/>
      <c r="AC803" s="1938"/>
      <c r="AD803" s="1938"/>
      <c r="AE803" s="1939"/>
      <c r="AF803" s="1915">
        <f>IF(T803&gt;Z803,Z803,T803)</f>
        <v>12</v>
      </c>
      <c r="AG803" s="1915"/>
      <c r="AH803" s="1915"/>
      <c r="AI803" s="1915"/>
      <c r="AJ803" s="1915"/>
      <c r="AK803" s="1915"/>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2415</v>
      </c>
      <c r="B804" s="1926" t="s">
        <v>1757</v>
      </c>
      <c r="C804" s="1926"/>
      <c r="D804" s="1926"/>
      <c r="E804" s="1926"/>
      <c r="F804" s="1926"/>
      <c r="G804" s="1926"/>
      <c r="H804" s="1926"/>
      <c r="I804" s="1926"/>
      <c r="J804" s="1926"/>
      <c r="K804" s="1926"/>
      <c r="L804" s="1926"/>
      <c r="M804" s="1926"/>
      <c r="N804" s="1926"/>
      <c r="O804" s="1926"/>
      <c r="P804" s="1926"/>
      <c r="Q804" s="1926"/>
      <c r="R804" s="1926"/>
      <c r="S804" s="1927"/>
      <c r="T804" s="1928">
        <f>AK779</f>
        <v>10</v>
      </c>
      <c r="U804" s="1928"/>
      <c r="V804" s="1928"/>
      <c r="W804" s="1928"/>
      <c r="X804" s="1928"/>
      <c r="Y804" s="1928"/>
      <c r="Z804" s="1937">
        <v>10</v>
      </c>
      <c r="AA804" s="1938"/>
      <c r="AB804" s="1938"/>
      <c r="AC804" s="1938"/>
      <c r="AD804" s="1938"/>
      <c r="AE804" s="1939"/>
      <c r="AF804" s="1915">
        <f>IF(T804&gt;Z804,Z804,T804)</f>
        <v>10</v>
      </c>
      <c r="AG804" s="1915"/>
      <c r="AH804" s="1915"/>
      <c r="AI804" s="1915"/>
      <c r="AJ804" s="1915"/>
      <c r="AK804" s="1915"/>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40" t="s">
        <v>1758</v>
      </c>
      <c r="B805" s="1926"/>
      <c r="C805" s="1926"/>
      <c r="D805" s="1926"/>
      <c r="E805" s="1926"/>
      <c r="F805" s="1926"/>
      <c r="G805" s="1926"/>
      <c r="H805" s="1926"/>
      <c r="I805" s="1926"/>
      <c r="J805" s="1926"/>
      <c r="K805" s="1926"/>
      <c r="L805" s="1926"/>
      <c r="M805" s="1926"/>
      <c r="N805" s="1926"/>
      <c r="O805" s="1926"/>
      <c r="P805" s="1926"/>
      <c r="Q805" s="1926"/>
      <c r="R805" s="1926"/>
      <c r="S805" s="1927"/>
      <c r="T805" s="1941"/>
      <c r="U805" s="1941"/>
      <c r="V805" s="1941"/>
      <c r="W805" s="1941"/>
      <c r="X805" s="1941"/>
      <c r="Y805" s="1941"/>
      <c r="Z805" s="1935" t="s">
        <v>1759</v>
      </c>
      <c r="AA805" s="1935"/>
      <c r="AB805" s="1935"/>
      <c r="AC805" s="1935"/>
      <c r="AD805" s="1935"/>
      <c r="AE805" s="1935"/>
      <c r="AF805" s="1937">
        <f>IF(T805&gt;0,T805,0)</f>
        <v>0</v>
      </c>
      <c r="AG805" s="1938"/>
      <c r="AH805" s="1938"/>
      <c r="AI805" s="1938"/>
      <c r="AJ805" s="1938"/>
      <c r="AK805" s="1939"/>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6">
      <c r="A806" s="1942" t="s">
        <v>1760</v>
      </c>
      <c r="B806" s="1943"/>
      <c r="C806" s="1943"/>
      <c r="D806" s="1943"/>
      <c r="E806" s="1943"/>
      <c r="F806" s="1943"/>
      <c r="G806" s="1943"/>
      <c r="H806" s="1943"/>
      <c r="I806" s="1943"/>
      <c r="J806" s="1943"/>
      <c r="K806" s="1943"/>
      <c r="L806" s="1943"/>
      <c r="M806" s="1943"/>
      <c r="N806" s="1943"/>
      <c r="O806" s="1943"/>
      <c r="P806" s="1943"/>
      <c r="Q806" s="1943"/>
      <c r="R806" s="1943"/>
      <c r="S806" s="1943"/>
      <c r="T806" s="1943"/>
      <c r="U806" s="1943"/>
      <c r="V806" s="1943"/>
      <c r="W806" s="1943"/>
      <c r="X806" s="1943"/>
      <c r="Y806" s="1943"/>
      <c r="Z806" s="1943"/>
      <c r="AA806" s="1943"/>
      <c r="AB806" s="1943"/>
      <c r="AC806" s="1943"/>
      <c r="AD806" s="1943"/>
      <c r="AE806" s="1944"/>
      <c r="AF806" s="1948">
        <f ca="1">SUM(AF789:AK804)-AF805</f>
        <v>120</v>
      </c>
      <c r="AG806" s="1949"/>
      <c r="AH806" s="1949"/>
      <c r="AI806" s="1949"/>
      <c r="AJ806" s="1949"/>
      <c r="AK806" s="1950"/>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6">
      <c r="A807" s="1945"/>
      <c r="B807" s="1946"/>
      <c r="C807" s="1946"/>
      <c r="D807" s="1946"/>
      <c r="E807" s="1946"/>
      <c r="F807" s="1946"/>
      <c r="G807" s="1946"/>
      <c r="H807" s="1946"/>
      <c r="I807" s="1946"/>
      <c r="J807" s="1946"/>
      <c r="K807" s="1946"/>
      <c r="L807" s="1946"/>
      <c r="M807" s="1946"/>
      <c r="N807" s="1946"/>
      <c r="O807" s="1946"/>
      <c r="P807" s="1946"/>
      <c r="Q807" s="1946"/>
      <c r="R807" s="1946"/>
      <c r="S807" s="1946"/>
      <c r="T807" s="1946"/>
      <c r="U807" s="1946"/>
      <c r="V807" s="1946"/>
      <c r="W807" s="1946"/>
      <c r="X807" s="1946"/>
      <c r="Y807" s="1946"/>
      <c r="Z807" s="1946"/>
      <c r="AA807" s="1946"/>
      <c r="AB807" s="1946"/>
      <c r="AC807" s="1946"/>
      <c r="AD807" s="1946"/>
      <c r="AE807" s="1947"/>
      <c r="AF807" s="1951"/>
      <c r="AG807" s="1952"/>
      <c r="AH807" s="1952"/>
      <c r="AI807" s="1952"/>
      <c r="AJ807" s="1952"/>
      <c r="AK807" s="1953"/>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T797:Y797">
    <cfRule type="expression" dxfId="11" priority="7" stopIfTrue="1">
      <formula>ISERROR(T797)</formula>
    </cfRule>
  </conditionalFormatting>
  <conditionalFormatting sqref="T802:Z804">
    <cfRule type="expression" dxfId="10" priority="1" stopIfTrue="1">
      <formula>ISERROR(T802)</formula>
    </cfRule>
  </conditionalFormatting>
  <conditionalFormatting sqref="AF789:AK792">
    <cfRule type="expression" dxfId="9" priority="3" stopIfTrue="1">
      <formula>ISERROR(AF789)</formula>
    </cfRule>
  </conditionalFormatting>
  <conditionalFormatting sqref="AF797:AK797">
    <cfRule type="expression" dxfId="8" priority="8" stopIfTrue="1">
      <formula>ISERROR(AF797)</formula>
    </cfRule>
  </conditionalFormatting>
  <conditionalFormatting sqref="AF802:AK804">
    <cfRule type="expression" dxfId="7" priority="9" stopIfTrue="1">
      <formula>ISERROR(AF802)</formula>
    </cfRule>
  </conditionalFormatting>
  <conditionalFormatting sqref="AP434 AQ435:AQ437 AN444:AN448 T793:AK793 T794:AF796 AG796:AK796 T798:AK800 T801:AF801 AF804:AF806 T805:AE805 AG805:AL805">
    <cfRule type="expression" dxfId="6" priority="13" stopIfTrue="1">
      <formula>ISERROR(T434)</formula>
    </cfRule>
  </conditionalFormatting>
  <conditionalFormatting sqref="AP460">
    <cfRule type="expression" dxfId="5"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G87" sqref="G87"/>
    </sheetView>
  </sheetViews>
  <sheetFormatPr defaultColWidth="9.109375" defaultRowHeight="13.8"/>
  <cols>
    <col min="1" max="1" width="2.44140625" style="1088" customWidth="1"/>
    <col min="2" max="9" width="14.6640625" style="1088" customWidth="1"/>
    <col min="10" max="10" width="2.33203125" style="1088" customWidth="1"/>
    <col min="11" max="11" width="11.88671875" style="1089" customWidth="1"/>
    <col min="12" max="12" width="10.6640625" style="1088" customWidth="1"/>
    <col min="13" max="13" width="10.44140625" style="1088" customWidth="1"/>
    <col min="14" max="14" width="10.88671875" style="1088" customWidth="1"/>
    <col min="15" max="16384" width="9.109375" style="1088"/>
  </cols>
  <sheetData>
    <row r="1" spans="1:13" ht="30" customHeight="1">
      <c r="A1" s="2124" t="s">
        <v>1761</v>
      </c>
      <c r="B1" s="2124"/>
      <c r="C1" s="2124"/>
      <c r="D1" s="2124"/>
      <c r="E1" s="2124"/>
      <c r="F1" s="2124"/>
      <c r="G1" s="2124"/>
      <c r="H1" s="2124"/>
      <c r="I1" s="2124"/>
      <c r="J1" s="2124"/>
    </row>
    <row r="2" spans="1:13" ht="15" customHeight="1" thickBot="1">
      <c r="A2" s="1090"/>
      <c r="B2" s="1090"/>
      <c r="I2" s="1091"/>
      <c r="K2" s="1092"/>
    </row>
    <row r="3" spans="1:13" s="1095" customFormat="1" ht="20.100000000000001" customHeight="1">
      <c r="A3" s="1149"/>
      <c r="B3" s="1150"/>
      <c r="C3" s="1151"/>
      <c r="D3" s="1156"/>
      <c r="E3" s="1151"/>
      <c r="F3" s="1152" t="s">
        <v>2380</v>
      </c>
      <c r="G3" s="1151"/>
      <c r="H3" s="1153">
        <f>E16</f>
        <v>52310684.000000007</v>
      </c>
      <c r="I3" s="1154"/>
    </row>
    <row r="4" spans="1:13" s="1095" customFormat="1" ht="20.100000000000001" customHeight="1">
      <c r="B4" s="1143"/>
      <c r="D4" s="1157"/>
      <c r="F4" s="1141" t="s">
        <v>2382</v>
      </c>
      <c r="G4" s="1140" t="s">
        <v>2381</v>
      </c>
      <c r="H4" s="1142">
        <f>I16</f>
        <v>45562240.510620914</v>
      </c>
      <c r="I4" s="1144"/>
      <c r="K4" s="1099"/>
    </row>
    <row r="5" spans="1:13" s="1095" customFormat="1" ht="20.100000000000001" customHeight="1" thickBot="1">
      <c r="B5" s="1145"/>
      <c r="C5" s="1146"/>
      <c r="D5" s="1158"/>
      <c r="E5" s="1147"/>
      <c r="F5" s="1158" t="s">
        <v>2322</v>
      </c>
      <c r="G5" s="1159"/>
      <c r="H5" s="1155">
        <f>H3/H4</f>
        <v>1.148114829598996</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25" t="s">
        <v>2320</v>
      </c>
      <c r="C8" s="2126"/>
      <c r="D8" s="2126"/>
      <c r="E8" s="2127"/>
      <c r="G8" s="2128" t="s">
        <v>2321</v>
      </c>
      <c r="H8" s="2129"/>
      <c r="I8" s="2130"/>
      <c r="K8" s="1101"/>
    </row>
    <row r="9" spans="1:13" ht="15" customHeight="1">
      <c r="A9" s="1090"/>
      <c r="B9" s="2119" t="s">
        <v>2359</v>
      </c>
      <c r="C9" s="2119"/>
      <c r="D9" s="2119"/>
      <c r="E9" s="1103">
        <f>G31</f>
        <v>13562500</v>
      </c>
      <c r="G9" s="2122" t="s">
        <v>2357</v>
      </c>
      <c r="H9" s="2122"/>
      <c r="I9" s="1104">
        <f>Application!AM550</f>
        <v>45599495</v>
      </c>
      <c r="K9" s="1105"/>
      <c r="M9" s="1106"/>
    </row>
    <row r="10" spans="1:13" ht="15" customHeight="1" thickBot="1">
      <c r="A10" s="1090"/>
      <c r="B10" s="2119" t="s">
        <v>2360</v>
      </c>
      <c r="C10" s="2119"/>
      <c r="D10" s="2119"/>
      <c r="E10" s="1104">
        <f>G40</f>
        <v>29588184.000000007</v>
      </c>
      <c r="G10" s="2122" t="s">
        <v>2323</v>
      </c>
      <c r="H10" s="2122"/>
      <c r="I10" s="1191">
        <f>'Basis &amp; Credits'!AB77</f>
        <v>0</v>
      </c>
      <c r="M10" s="1106"/>
    </row>
    <row r="11" spans="1:13" ht="15" customHeight="1">
      <c r="A11" s="1107"/>
      <c r="B11" s="2119" t="s">
        <v>2361</v>
      </c>
      <c r="C11" s="2119"/>
      <c r="D11" s="2119"/>
      <c r="E11" s="1104">
        <f>G49</f>
        <v>0</v>
      </c>
      <c r="G11" s="2122" t="s">
        <v>2372</v>
      </c>
      <c r="H11" s="2122"/>
      <c r="I11" s="1190">
        <f>I9+I10</f>
        <v>45599495</v>
      </c>
      <c r="M11" s="1106"/>
    </row>
    <row r="12" spans="1:13" ht="15" customHeight="1">
      <c r="A12" s="1093"/>
      <c r="B12" s="2119" t="s">
        <v>2362</v>
      </c>
      <c r="C12" s="2119"/>
      <c r="D12" s="2119"/>
      <c r="E12" s="1104">
        <f>G58</f>
        <v>480000</v>
      </c>
      <c r="G12" s="1192" t="s">
        <v>2397</v>
      </c>
      <c r="H12" s="1193"/>
      <c r="M12" s="1106"/>
    </row>
    <row r="13" spans="1:13" ht="15" customHeight="1">
      <c r="A13" s="1090"/>
      <c r="B13" s="2119" t="s">
        <v>2363</v>
      </c>
      <c r="C13" s="2119"/>
      <c r="D13" s="2119"/>
      <c r="E13" s="1109">
        <f>G83</f>
        <v>3255000</v>
      </c>
      <c r="G13" s="2123" t="s">
        <v>140</v>
      </c>
      <c r="H13" s="2123"/>
      <c r="I13" s="1108">
        <f>15%*(Application!AJ963&gt;0)</f>
        <v>0</v>
      </c>
      <c r="M13" s="1106"/>
    </row>
    <row r="14" spans="1:13" ht="15" customHeight="1">
      <c r="A14" s="1090"/>
      <c r="B14" s="2119" t="s">
        <v>2364</v>
      </c>
      <c r="C14" s="2119"/>
      <c r="D14" s="2119"/>
      <c r="E14" s="1104">
        <f>IF(G96&gt;G106,G96,0)</f>
        <v>5425000</v>
      </c>
      <c r="G14" s="1188" t="s">
        <v>2373</v>
      </c>
      <c r="H14" s="1188"/>
      <c r="I14" s="1108">
        <f>IF(Application!AJ997&gt;0,10%,IF(Application!AJ1001&gt;0,5%,0))</f>
        <v>0</v>
      </c>
      <c r="M14" s="1106"/>
    </row>
    <row r="15" spans="1:13" ht="15" customHeight="1" thickBot="1">
      <c r="A15" s="1090"/>
      <c r="B15" s="2120" t="s">
        <v>2383</v>
      </c>
      <c r="C15" s="2120"/>
      <c r="D15" s="2120"/>
      <c r="E15" s="1160">
        <f>IF(E14&gt;0,0,G106)</f>
        <v>0</v>
      </c>
      <c r="G15" s="2117" t="s">
        <v>2374</v>
      </c>
      <c r="H15" s="2118"/>
      <c r="I15" s="1162">
        <f>G114</f>
        <v>8.1699346405228761E-4</v>
      </c>
      <c r="M15" s="1106"/>
    </row>
    <row r="16" spans="1:13" ht="15" customHeight="1">
      <c r="A16" s="1090"/>
      <c r="B16" s="2121" t="s">
        <v>2319</v>
      </c>
      <c r="C16" s="2121"/>
      <c r="D16" s="2121"/>
      <c r="E16" s="1161">
        <f>SUM(E9:E15)</f>
        <v>52310684.000000007</v>
      </c>
      <c r="G16" s="1189" t="s">
        <v>2358</v>
      </c>
      <c r="H16" s="1189"/>
      <c r="I16" s="1163">
        <f>I11-((I11*I13)+(I11*I14)+(I11*I15))</f>
        <v>45562240.510620914</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226</v>
      </c>
      <c r="O18" s="1133" t="s">
        <v>592</v>
      </c>
      <c r="P18" s="1088">
        <f>MATCH(Application!T189,Application!BP656:BP713,0)</f>
        <v>37</v>
      </c>
      <c r="S18" s="1110">
        <f>SUM(Cdlac[Population])</f>
        <v>0</v>
      </c>
    </row>
    <row r="19" spans="1:20" ht="15" customHeight="1">
      <c r="A19" s="1090"/>
      <c r="B19" s="1090"/>
      <c r="I19" s="1116"/>
      <c r="L19" s="1088" t="s">
        <v>2315</v>
      </c>
      <c r="M19" s="1088" t="s">
        <v>2314</v>
      </c>
      <c r="N19" s="1088" t="s">
        <v>2328</v>
      </c>
      <c r="O19" s="1088" t="s">
        <v>2329</v>
      </c>
      <c r="P19" s="1088" t="s">
        <v>2316</v>
      </c>
      <c r="Q19" s="1088" t="s">
        <v>2317</v>
      </c>
      <c r="R19" s="1088" t="s">
        <v>2330</v>
      </c>
      <c r="S19" s="1088" t="s">
        <v>2336</v>
      </c>
      <c r="T19" s="1088" t="s">
        <v>387</v>
      </c>
    </row>
    <row r="20" spans="1:20" ht="15" customHeight="1">
      <c r="A20" s="1093"/>
      <c r="C20" s="2115" t="s">
        <v>2376</v>
      </c>
      <c r="D20" s="2115" t="s">
        <v>2377</v>
      </c>
      <c r="E20" s="2115" t="s">
        <v>2378</v>
      </c>
      <c r="F20" s="2115" t="s">
        <v>2379</v>
      </c>
      <c r="G20" s="2115" t="s">
        <v>2375</v>
      </c>
      <c r="H20" s="1117"/>
      <c r="I20" s="1116"/>
      <c r="L20" s="1088">
        <f>IFERROR(MIN(4,MATCH(Application!B714,UnitSizes,0)-1),"")</f>
        <v>1</v>
      </c>
      <c r="M20" s="1110">
        <f>Application!G714</f>
        <v>11</v>
      </c>
      <c r="N20" s="1118">
        <f>Application!AC714</f>
        <v>0.3</v>
      </c>
      <c r="O20" s="1118">
        <f>IF(Cdlac[[#This Row],[Quantity]]&gt;0,IF(Cdlac[[#This Row],[Federal]],30%,IF($G$36,40%,Cdlac[[#This Row],[iAMI]])),"")</f>
        <v>0.3</v>
      </c>
      <c r="P20" s="1110" cm="1">
        <f t="array" ref="P20">IF(Cdlac[[#This Row],[Quantity]]&gt;0,INDEX(TcacRents,$P$18,Cdlac[[#This Row],[Bedrooms]]+1)*Cdlac[[#This Row],[AMI]],"")</f>
        <v>775.19999999999993</v>
      </c>
      <c r="Q20" s="1110" cm="1">
        <f t="array" ref="Q20">IF(Cdlac[[#This Row],[Quantity]]&gt;0,INDEX(HudFmrs,$P$18,Cdlac[[#This Row],[Bedrooms]]+1),"")</f>
        <v>1885</v>
      </c>
      <c r="R20" s="1110">
        <f>IF(Cdlac[[#This Row],[Quantity]]&gt;0,MAX(0,Cdlac[[#This Row],[Fair Market Rent]]-Cdlac[[#This Row],[Restricted Rent]]),"")</f>
        <v>1109.8000000000002</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16"/>
      <c r="D21" s="2116"/>
      <c r="E21" s="2116"/>
      <c r="F21" s="2116"/>
      <c r="G21" s="2116"/>
      <c r="H21" s="1117"/>
      <c r="I21" s="1116"/>
      <c r="L21" s="1088">
        <f>IFERROR(MIN(4,MATCH(Application!B715,UnitSizes,0)-1),"")</f>
        <v>1</v>
      </c>
      <c r="M21" s="1110">
        <f>Application!G715</f>
        <v>11</v>
      </c>
      <c r="N21" s="1118">
        <f>Application!AC715</f>
        <v>0.5</v>
      </c>
      <c r="O21" s="1118">
        <f>IF(Cdlac[[#This Row],[Quantity]]&gt;0,IF(Cdlac[[#This Row],[Federal]],30%,IF($G$36,40%,Cdlac[[#This Row],[iAMI]])),"")</f>
        <v>0.5</v>
      </c>
      <c r="P21" s="1110" cm="1">
        <f t="array" ref="P21">IF(Cdlac[[#This Row],[Quantity]]&gt;0,INDEX(TcacRents,$P$18,Cdlac[[#This Row],[Bedrooms]]+1)*Cdlac[[#This Row],[AMI]],"")</f>
        <v>1292</v>
      </c>
      <c r="Q21" s="1110" cm="1">
        <f t="array" ref="Q21">IF(Cdlac[[#This Row],[Quantity]]&gt;0,INDEX(HudFmrs,$P$18,Cdlac[[#This Row],[Bedrooms]]+1),"")</f>
        <v>1885</v>
      </c>
      <c r="R21" s="1110">
        <f>IF(Cdlac[[#This Row],[Quantity]]&gt;0,MAX(0,Cdlac[[#This Row],[Fair Market Rent]]-Cdlac[[#This Row],[Restricted Rent]]),"")</f>
        <v>593</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83</v>
      </c>
      <c r="N22" s="1118">
        <f>Application!AC716</f>
        <v>0.6</v>
      </c>
      <c r="O22" s="1118">
        <f>IF(Cdlac[[#This Row],[Quantity]]&gt;0,IF(Cdlac[[#This Row],[Federal]],30%,IF($G$36,40%,Cdlac[[#This Row],[iAMI]])),"")</f>
        <v>0.6</v>
      </c>
      <c r="P22" s="1110" cm="1">
        <f t="array" ref="P22">IF(Cdlac[[#This Row],[Quantity]]&gt;0,INDEX(TcacRents,$P$18,Cdlac[[#This Row],[Bedrooms]]+1)*Cdlac[[#This Row],[AMI]],"")</f>
        <v>1550.3999999999999</v>
      </c>
      <c r="Q22" s="1110" cm="1">
        <f t="array" ref="Q22">IF(Cdlac[[#This Row],[Quantity]]&gt;0,INDEX(HudFmrs,$P$18,Cdlac[[#This Row],[Bedrooms]]+1),"")</f>
        <v>1885</v>
      </c>
      <c r="R22" s="1110">
        <f>IF(Cdlac[[#This Row],[Quantity]]&gt;0,MAX(0,Cdlac[[#This Row],[Fair Market Rent]]-Cdlac[[#This Row],[Restricted Rent]]),"")</f>
        <v>334.60000000000014</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105</v>
      </c>
      <c r="F23" s="1119">
        <f>E23</f>
        <v>105</v>
      </c>
      <c r="G23" s="1119">
        <f>D23*F23</f>
        <v>105</v>
      </c>
      <c r="L23" s="1088">
        <f>IFERROR(MIN(4,MATCH(Application!B717,UnitSizes,0)-1),"")</f>
        <v>2</v>
      </c>
      <c r="M23" s="1110">
        <f>Application!G717</f>
        <v>7</v>
      </c>
      <c r="N23" s="1118">
        <f>Application!AC717</f>
        <v>0.3</v>
      </c>
      <c r="O23" s="1118">
        <f>IF(Cdlac[[#This Row],[Quantity]]&gt;0,IF(Cdlac[[#This Row],[Federal]],30%,IF($G$36,40%,Cdlac[[#This Row],[iAMI]])),"")</f>
        <v>0.3</v>
      </c>
      <c r="P23" s="1110" cm="1">
        <f t="array" ref="P23">IF(Cdlac[[#This Row],[Quantity]]&gt;0,INDEX(TcacRents,$P$18,Cdlac[[#This Row],[Bedrooms]]+1)*Cdlac[[#This Row],[AMI]],"")</f>
        <v>930.59999999999991</v>
      </c>
      <c r="Q23" s="1110" cm="1">
        <f t="array" ref="Q23">IF(Cdlac[[#This Row],[Quantity]]&gt;0,INDEX(HudFmrs,$P$18,Cdlac[[#This Row],[Bedrooms]]+1),"")</f>
        <v>2399</v>
      </c>
      <c r="R23" s="1110">
        <f>IF(Cdlac[[#This Row],[Quantity]]&gt;0,MAX(0,Cdlac[[#This Row],[Fair Market Rent]]-Cdlac[[#This Row],[Restricted Rent]]),"")</f>
        <v>1468.4</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61</v>
      </c>
      <c r="F24" s="1122">
        <f>SUM(E24:E26)-SUM(F25:F26)</f>
        <v>61</v>
      </c>
      <c r="G24" s="1119">
        <f>D24*F24</f>
        <v>76.25</v>
      </c>
      <c r="H24" s="1121"/>
      <c r="I24" s="1121"/>
      <c r="L24" s="1088">
        <f>IFERROR(MIN(4,MATCH(Application!B718,UnitSizes,0)-1),"")</f>
        <v>2</v>
      </c>
      <c r="M24" s="1110">
        <f>Application!G718</f>
        <v>7</v>
      </c>
      <c r="N24" s="1118">
        <f>Application!AC718</f>
        <v>0.5</v>
      </c>
      <c r="O24" s="1118">
        <f>IF(Cdlac[[#This Row],[Quantity]]&gt;0,IF(Cdlac[[#This Row],[Federal]],30%,IF($G$36,40%,Cdlac[[#This Row],[iAMI]])),"")</f>
        <v>0.5</v>
      </c>
      <c r="P24" s="1110" cm="1">
        <f t="array" ref="P24">IF(Cdlac[[#This Row],[Quantity]]&gt;0,INDEX(TcacRents,$P$18,Cdlac[[#This Row],[Bedrooms]]+1)*Cdlac[[#This Row],[AMI]],"")</f>
        <v>1551</v>
      </c>
      <c r="Q24" s="1110" cm="1">
        <f t="array" ref="Q24">IF(Cdlac[[#This Row],[Quantity]]&gt;0,INDEX(HudFmrs,$P$18,Cdlac[[#This Row],[Bedrooms]]+1),"")</f>
        <v>2399</v>
      </c>
      <c r="R24" s="1110">
        <f>IF(Cdlac[[#This Row],[Quantity]]&gt;0,MAX(0,Cdlac[[#This Row],[Fair Market Rent]]-Cdlac[[#This Row],[Restricted Rent]]),"")</f>
        <v>848</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60</v>
      </c>
      <c r="F25" s="1122">
        <f>MIN(E25,ROUNDDOWN(E27*30%,0))</f>
        <v>60</v>
      </c>
      <c r="G25" s="1119">
        <f>D25*F25</f>
        <v>90</v>
      </c>
      <c r="H25" s="1121"/>
      <c r="I25" s="1121"/>
      <c r="L25" s="1088">
        <f>IFERROR(MIN(4,MATCH(Application!B719,UnitSizes,0)-1),"")</f>
        <v>2</v>
      </c>
      <c r="M25" s="1110">
        <f>Application!G719</f>
        <v>47</v>
      </c>
      <c r="N25" s="1118">
        <f>Application!AC719</f>
        <v>0.6</v>
      </c>
      <c r="O25" s="1118">
        <f>IF(Cdlac[[#This Row],[Quantity]]&gt;0,IF(Cdlac[[#This Row],[Federal]],30%,IF($G$36,40%,Cdlac[[#This Row],[iAMI]])),"")</f>
        <v>0.6</v>
      </c>
      <c r="P25" s="1110" cm="1">
        <f t="array" ref="P25">IF(Cdlac[[#This Row],[Quantity]]&gt;0,INDEX(TcacRents,$P$18,Cdlac[[#This Row],[Bedrooms]]+1)*Cdlac[[#This Row],[AMI]],"")</f>
        <v>1861.1999999999998</v>
      </c>
      <c r="Q25" s="1110" cm="1">
        <f t="array" ref="Q25">IF(Cdlac[[#This Row],[Quantity]]&gt;0,INDEX(HudFmrs,$P$18,Cdlac[[#This Row],[Bedrooms]]+1),"")</f>
        <v>2399</v>
      </c>
      <c r="R25" s="1110">
        <f>IF(Cdlac[[#This Row],[Quantity]]&gt;0,MAX(0,Cdlac[[#This Row],[Fair Market Rent]]-Cdlac[[#This Row],[Restricted Rent]]),"")</f>
        <v>537.80000000000018</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3</v>
      </c>
      <c r="M26" s="1110">
        <f>Application!G720</f>
        <v>6</v>
      </c>
      <c r="N26" s="1118">
        <f>Application!AC720</f>
        <v>0.3</v>
      </c>
      <c r="O26" s="1118">
        <f>IF(Cdlac[[#This Row],[Quantity]]&gt;0,IF(Cdlac[[#This Row],[Federal]],30%,IF($G$36,40%,Cdlac[[#This Row],[iAMI]])),"")</f>
        <v>0.3</v>
      </c>
      <c r="P26" s="1110" cm="1">
        <f t="array" ref="P26">IF(Cdlac[[#This Row],[Quantity]]&gt;0,INDEX(TcacRents,$P$18,Cdlac[[#This Row],[Bedrooms]]+1)*Cdlac[[#This Row],[AMI]],"")</f>
        <v>1074.5999999999999</v>
      </c>
      <c r="Q26" s="1110" cm="1">
        <f t="array" ref="Q26">IF(Cdlac[[#This Row],[Quantity]]&gt;0,INDEX(HudFmrs,$P$18,Cdlac[[#This Row],[Bedrooms]]+1),"")</f>
        <v>3279</v>
      </c>
      <c r="R26" s="1110">
        <f>IF(Cdlac[[#This Row],[Quantity]]&gt;0,MAX(0,Cdlac[[#This Row],[Fair Market Rent]]-Cdlac[[#This Row],[Restricted Rent]]),"")</f>
        <v>2204.4</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31" t="s">
        <v>1762</v>
      </c>
      <c r="D27" s="2132"/>
      <c r="E27" s="1138">
        <f>SUM(E22:E26)</f>
        <v>226</v>
      </c>
      <c r="F27" s="1138">
        <f>SUM(F22:F26)</f>
        <v>226</v>
      </c>
      <c r="G27" s="1139">
        <f>SUMPRODUCT(D22:D26,F22:F26)</f>
        <v>271.25</v>
      </c>
      <c r="H27" s="1121"/>
      <c r="I27" s="1121"/>
      <c r="L27" s="1088">
        <f>IFERROR(MIN(4,MATCH(Application!B721,UnitSizes,0)-1),"")</f>
        <v>3</v>
      </c>
      <c r="M27" s="1110">
        <f>Application!G721</f>
        <v>6</v>
      </c>
      <c r="N27" s="1118">
        <f>Application!AC721</f>
        <v>0.5</v>
      </c>
      <c r="O27" s="1118">
        <f>IF(Cdlac[[#This Row],[Quantity]]&gt;0,IF(Cdlac[[#This Row],[Federal]],30%,IF($G$36,40%,Cdlac[[#This Row],[iAMI]])),"")</f>
        <v>0.5</v>
      </c>
      <c r="P27" s="1110" cm="1">
        <f t="array" ref="P27">IF(Cdlac[[#This Row],[Quantity]]&gt;0,INDEX(TcacRents,$P$18,Cdlac[[#This Row],[Bedrooms]]+1)*Cdlac[[#This Row],[AMI]],"")</f>
        <v>1791</v>
      </c>
      <c r="Q27" s="1110" cm="1">
        <f t="array" ref="Q27">IF(Cdlac[[#This Row],[Quantity]]&gt;0,INDEX(HudFmrs,$P$18,Cdlac[[#This Row],[Bedrooms]]+1),"")</f>
        <v>3279</v>
      </c>
      <c r="R27" s="1110">
        <f>IF(Cdlac[[#This Row],[Quantity]]&gt;0,MAX(0,Cdlac[[#This Row],[Fair Market Rent]]-Cdlac[[#This Row],[Restricted Rent]]),"")</f>
        <v>1488</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3</v>
      </c>
      <c r="M28" s="1110">
        <f>Application!G722</f>
        <v>48</v>
      </c>
      <c r="N28" s="1118">
        <f>Application!AC722</f>
        <v>0.6</v>
      </c>
      <c r="O28" s="1118">
        <f>IF(Cdlac[[#This Row],[Quantity]]&gt;0,IF(Cdlac[[#This Row],[Federal]],30%,IF($G$36,40%,Cdlac[[#This Row],[iAMI]])),"")</f>
        <v>0.6</v>
      </c>
      <c r="P28" s="1110" cm="1">
        <f t="array" ref="P28">IF(Cdlac[[#This Row],[Quantity]]&gt;0,INDEX(TcacRents,$P$18,Cdlac[[#This Row],[Bedrooms]]+1)*Cdlac[[#This Row],[AMI]],"")</f>
        <v>2149.1999999999998</v>
      </c>
      <c r="Q28" s="1110" cm="1">
        <f t="array" ref="Q28">IF(Cdlac[[#This Row],[Quantity]]&gt;0,INDEX(HudFmrs,$P$18,Cdlac[[#This Row],[Bedrooms]]+1),"")</f>
        <v>3279</v>
      </c>
      <c r="R28" s="1110">
        <f>IF(Cdlac[[#This Row],[Quantity]]&gt;0,MAX(0,Cdlac[[#This Row],[Fair Market Rent]]-Cdlac[[#This Row],[Restricted Rent]]),"")</f>
        <v>1129.8000000000002</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2375</v>
      </c>
      <c r="G29" s="1165">
        <f>G27</f>
        <v>271.25</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2327</v>
      </c>
      <c r="F30" s="1164" t="s">
        <v>2384</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2368</v>
      </c>
      <c r="F31" s="1090"/>
      <c r="G31" s="1170">
        <f>G30*G29</f>
        <v>13562500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2395</v>
      </c>
      <c r="G35" s="1171" cm="1">
        <f t="array" ref="G35">SUMPRODUCT(Cdlac[Quantity],Cdlac[iAMI],IF(Cdlac[Federal],0,1))/SUMIFS(Cdlac[Quantity],Cdlac[Federal],FALSE)</f>
        <v>0.55752212389380529</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2390</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2331</v>
      </c>
      <c r="G38" s="1125">
        <f>SUMPRODUCT(Cdlac[Quantity],Cdlac[Delta])</f>
        <v>164378.80000000005</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2396</v>
      </c>
      <c r="F39" s="1164" t="s">
        <v>2384</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2324</v>
      </c>
      <c r="F40" s="1090"/>
      <c r="G40" s="1174">
        <f>G38*G39</f>
        <v>29588184.000000007</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2385</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2386</v>
      </c>
      <c r="G45" s="1176">
        <f>ROUNDDOWN(E27*50%,0)</f>
        <v>113</v>
      </c>
    </row>
    <row r="46" spans="2:20" ht="15" customHeight="1">
      <c r="E46" s="1168"/>
      <c r="G46" s="1176"/>
    </row>
    <row r="47" spans="2:20" ht="15" customHeight="1">
      <c r="E47" s="1168" t="s">
        <v>2337</v>
      </c>
      <c r="G47" s="1165">
        <f>MIN(G44:G45)</f>
        <v>0</v>
      </c>
    </row>
    <row r="48" spans="2:20" ht="15" customHeight="1">
      <c r="E48" s="1168" t="s">
        <v>2327</v>
      </c>
      <c r="F48" s="1164" t="s">
        <v>2384</v>
      </c>
      <c r="G48" s="1175">
        <v>10000</v>
      </c>
    </row>
    <row r="49" spans="2:14" ht="15" customHeight="1">
      <c r="E49" s="1169" t="s">
        <v>2367</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2387</v>
      </c>
      <c r="G53" s="1126">
        <f>SUMIFS(Cdlac[Quantity],Cdlac[iAMI],"&lt;=30%")</f>
        <v>24</v>
      </c>
    </row>
    <row r="54" spans="2:14" ht="15" customHeight="1">
      <c r="E54" s="1168" t="s">
        <v>2386</v>
      </c>
      <c r="G54" s="1126">
        <f>ROUNDDOWN(E27*50%,0)</f>
        <v>113</v>
      </c>
    </row>
    <row r="55" spans="2:14" ht="15" customHeight="1">
      <c r="E55" s="1168"/>
      <c r="G55" s="1126"/>
    </row>
    <row r="56" spans="2:14" ht="15" customHeight="1">
      <c r="E56" s="1168" t="s">
        <v>2337</v>
      </c>
      <c r="G56" s="1165">
        <f>MIN(G53:G54)</f>
        <v>24</v>
      </c>
    </row>
    <row r="57" spans="2:14" ht="15" customHeight="1">
      <c r="E57" s="1168" t="s">
        <v>2327</v>
      </c>
      <c r="F57" s="1164" t="s">
        <v>2384</v>
      </c>
      <c r="G57" s="1175">
        <v>20000</v>
      </c>
    </row>
    <row r="58" spans="2:14" ht="15" customHeight="1">
      <c r="E58" s="1169" t="s">
        <v>2366</v>
      </c>
      <c r="F58" s="1090"/>
      <c r="G58" s="1174">
        <f>G56*G57</f>
        <v>480000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2340</v>
      </c>
      <c r="G62" s="1165">
        <f>VLOOKUP('Points System'!$H$595,'Points System'!$AO$575:$AP$580,2,FALSE)</f>
        <v>3</v>
      </c>
      <c r="L62" s="1178" t="str">
        <f>'Points System'!H627</f>
        <v>(ii)</v>
      </c>
      <c r="M62" s="2133" t="s">
        <v>1576</v>
      </c>
      <c r="N62" s="2134"/>
    </row>
    <row r="63" spans="2:14" ht="15" customHeight="1">
      <c r="E63" s="1133" t="s">
        <v>2327</v>
      </c>
      <c r="F63" s="1164" t="s">
        <v>2384</v>
      </c>
      <c r="G63" s="1123">
        <v>4000</v>
      </c>
      <c r="L63" s="1179" t="str">
        <f>'Points System'!H639</f>
        <v>N/A</v>
      </c>
      <c r="M63" s="2135" t="s">
        <v>2341</v>
      </c>
      <c r="N63" s="2136"/>
    </row>
    <row r="64" spans="2:14" ht="15" customHeight="1">
      <c r="E64" s="1133" t="s">
        <v>2388</v>
      </c>
      <c r="F64" s="1164" t="s">
        <v>2384</v>
      </c>
      <c r="G64" s="1177">
        <f>G27</f>
        <v>271.25</v>
      </c>
      <c r="L64" s="1179" t="str">
        <f>'Points System'!H674</f>
        <v>N/A</v>
      </c>
      <c r="M64" s="2135" t="s">
        <v>2342</v>
      </c>
      <c r="N64" s="2136"/>
    </row>
    <row r="65" spans="2:14" ht="15" customHeight="1">
      <c r="E65" s="1169" t="s">
        <v>2346</v>
      </c>
      <c r="F65" s="1090"/>
      <c r="G65" s="1174">
        <f>G62*G63*G64</f>
        <v>3255000</v>
      </c>
      <c r="L65" s="1179" t="str">
        <f>'Points System'!H694</f>
        <v>N/A</v>
      </c>
      <c r="M65" s="2135" t="s">
        <v>2343</v>
      </c>
      <c r="N65" s="2136"/>
    </row>
    <row r="66" spans="2:14" ht="15" customHeight="1">
      <c r="C66" s="1124"/>
      <c r="G66" s="1165"/>
      <c r="L66" s="1180" t="str">
        <f>'Points System'!H708</f>
        <v>N/A</v>
      </c>
      <c r="M66" s="2135" t="s">
        <v>1602</v>
      </c>
      <c r="N66" s="2136"/>
    </row>
    <row r="67" spans="2:14" ht="15" customHeight="1">
      <c r="E67" s="1133" t="s">
        <v>2389</v>
      </c>
      <c r="G67" s="1177">
        <f>COUNTIFS(L62:L69,"(i)")</f>
        <v>0</v>
      </c>
      <c r="L67" s="1179" t="str">
        <f>'Points System'!H720</f>
        <v>N/A</v>
      </c>
      <c r="M67" s="2135" t="s">
        <v>2344</v>
      </c>
      <c r="N67" s="2136"/>
    </row>
    <row r="68" spans="2:14" ht="15" customHeight="1">
      <c r="E68" s="1133" t="s">
        <v>2327</v>
      </c>
      <c r="F68" s="1164" t="s">
        <v>2384</v>
      </c>
      <c r="G68" s="1175">
        <v>4000</v>
      </c>
      <c r="L68" s="1179" t="str">
        <f>'Points System'!H736</f>
        <v>N/A</v>
      </c>
      <c r="M68" s="2135" t="s">
        <v>2345</v>
      </c>
      <c r="N68" s="2136"/>
    </row>
    <row r="69" spans="2:14" ht="15" customHeight="1" thickBot="1">
      <c r="E69" s="1169" t="s">
        <v>2347</v>
      </c>
      <c r="F69" s="1090"/>
      <c r="G69" s="1174">
        <f>G64*G67*G68</f>
        <v>0</v>
      </c>
      <c r="L69" s="1181" t="str">
        <f>'Points System'!H748</f>
        <v>N/A</v>
      </c>
      <c r="M69" s="2141" t="s">
        <v>1605</v>
      </c>
      <c r="N69" s="2142"/>
    </row>
    <row r="70" spans="2:14" ht="15" customHeight="1"/>
    <row r="71" spans="2:14" ht="15" customHeight="1">
      <c r="C71" s="1127" t="s">
        <v>2349</v>
      </c>
    </row>
    <row r="72" spans="2:14" ht="15" customHeight="1">
      <c r="C72" s="1124" t="s">
        <v>2350</v>
      </c>
      <c r="G72" s="1087"/>
    </row>
    <row r="73" spans="2:14" ht="15" customHeight="1">
      <c r="C73" s="1124" t="s">
        <v>2351</v>
      </c>
      <c r="G73" s="1087"/>
    </row>
    <row r="74" spans="2:14" ht="15" customHeight="1">
      <c r="C74" s="1124" t="s">
        <v>2608</v>
      </c>
      <c r="G74" s="1087"/>
    </row>
    <row r="75" spans="2:14" ht="15" customHeight="1">
      <c r="C75" s="1124" t="s">
        <v>2609</v>
      </c>
      <c r="G75" s="1087"/>
    </row>
    <row r="76" spans="2:14" ht="15" customHeight="1"/>
    <row r="77" spans="2:14" ht="15" customHeight="1">
      <c r="B77" s="1125"/>
      <c r="C77" s="1124"/>
      <c r="E77" s="1133" t="s">
        <v>2391</v>
      </c>
      <c r="G77" s="1126" t="b">
        <f>COUNTIFS(G72:G75,"Yes")&gt;=1</f>
        <v>0</v>
      </c>
    </row>
    <row r="78" spans="2:14" ht="15" customHeight="1">
      <c r="E78" s="1124"/>
    </row>
    <row r="79" spans="2:14" ht="15" customHeight="1">
      <c r="E79" s="1133" t="s">
        <v>2388</v>
      </c>
      <c r="F79" s="1164" t="s">
        <v>2384</v>
      </c>
      <c r="G79" s="1165">
        <f>G27</f>
        <v>271.25</v>
      </c>
    </row>
    <row r="80" spans="2:14" ht="15" customHeight="1">
      <c r="E80" s="1133" t="s">
        <v>2327</v>
      </c>
      <c r="F80" s="1164" t="s">
        <v>2384</v>
      </c>
      <c r="G80" s="1175">
        <v>25000</v>
      </c>
    </row>
    <row r="81" spans="2:14" ht="15" customHeight="1">
      <c r="E81" s="1169" t="s">
        <v>2348</v>
      </c>
      <c r="F81" s="1090"/>
      <c r="G81" s="1174">
        <f>G77*G80*G64</f>
        <v>0</v>
      </c>
    </row>
    <row r="82" spans="2:14" ht="15" customHeight="1">
      <c r="C82" s="1124"/>
      <c r="E82" s="1124"/>
    </row>
    <row r="83" spans="2:14" ht="15" customHeight="1">
      <c r="E83" s="1169" t="s">
        <v>2325</v>
      </c>
      <c r="G83" s="1174">
        <f>G81+G69+G65</f>
        <v>3255000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2370</v>
      </c>
      <c r="G87" s="1087" t="s">
        <v>555</v>
      </c>
      <c r="L87" s="2143" t="s">
        <v>2354</v>
      </c>
      <c r="M87" s="2144"/>
      <c r="N87" s="1182">
        <v>30000</v>
      </c>
    </row>
    <row r="88" spans="2:14" ht="15" customHeight="1">
      <c r="C88" s="1124" t="s">
        <v>2371</v>
      </c>
      <c r="G88" s="1128" t="str">
        <f>IF(Application!D210="Large Family","Yes","No")</f>
        <v>Yes</v>
      </c>
      <c r="L88" s="2137" t="s">
        <v>2318</v>
      </c>
      <c r="M88" s="2138"/>
      <c r="N88" s="1183">
        <v>20000</v>
      </c>
    </row>
    <row r="89" spans="2:14" ht="15" customHeight="1" thickBot="1">
      <c r="C89" s="1124" t="s">
        <v>2352</v>
      </c>
      <c r="G89" s="1087"/>
      <c r="L89" s="2139" t="s">
        <v>2355</v>
      </c>
      <c r="M89" s="2140"/>
      <c r="N89" s="1184">
        <v>10000</v>
      </c>
    </row>
    <row r="90" spans="2:14" ht="15" customHeight="1">
      <c r="C90" s="1124" t="s">
        <v>2353</v>
      </c>
      <c r="G90" s="1088" t="str">
        <f>Application!T193</f>
        <v>High Resource</v>
      </c>
    </row>
    <row r="91" spans="2:14" ht="15" customHeight="1">
      <c r="C91" s="1124"/>
    </row>
    <row r="92" spans="2:14" ht="15" customHeight="1">
      <c r="E92" s="1133" t="s">
        <v>2391</v>
      </c>
      <c r="G92" s="1126" t="b">
        <f>AND(COUNTIFS(G88:G89,"Yes")&gt;=1,G87="Yes")</f>
        <v>1</v>
      </c>
    </row>
    <row r="93" spans="2:14" ht="15" customHeight="1">
      <c r="E93" s="1133"/>
      <c r="G93" s="1126"/>
    </row>
    <row r="94" spans="2:14" ht="15" customHeight="1">
      <c r="E94" s="1133" t="s">
        <v>2327</v>
      </c>
      <c r="G94" s="1125">
        <f>IFERROR(INDEX(N87:N89,MATCH(LEFT(G90,17),L87:L89,0)),0)</f>
        <v>20000</v>
      </c>
    </row>
    <row r="95" spans="2:14" ht="15" customHeight="1">
      <c r="E95" s="1133" t="str">
        <f>E64</f>
        <v>Bedroom-Adjusted Low-Income Units</v>
      </c>
      <c r="F95" s="1164" t="s">
        <v>2384</v>
      </c>
      <c r="G95" s="1165">
        <f>G27</f>
        <v>271.25</v>
      </c>
    </row>
    <row r="96" spans="2:14" ht="15" customHeight="1">
      <c r="D96" s="1090"/>
      <c r="E96" s="1169" t="s">
        <v>2326</v>
      </c>
      <c r="F96" s="1090"/>
      <c r="G96" s="1174">
        <f>G95*G94*G92</f>
        <v>5425000</v>
      </c>
    </row>
    <row r="97" spans="2:9" ht="15" customHeight="1"/>
    <row r="98" spans="2:9" ht="15" customHeight="1">
      <c r="B98" s="1113" t="s">
        <v>2339</v>
      </c>
      <c r="C98" s="1114"/>
      <c r="D98" s="1114"/>
      <c r="E98" s="1114"/>
      <c r="F98" s="1114"/>
      <c r="G98" s="1114"/>
      <c r="H98" s="1114"/>
      <c r="I98" s="1115"/>
    </row>
    <row r="99" spans="2:9" ht="15" customHeight="1"/>
    <row r="100" spans="2:9" ht="15" customHeight="1">
      <c r="F100" s="1167" t="s">
        <v>2365</v>
      </c>
      <c r="G100" s="1087"/>
    </row>
    <row r="101" spans="2:9" ht="15" customHeight="1">
      <c r="F101" s="1167"/>
    </row>
    <row r="102" spans="2:9" ht="15" customHeight="1">
      <c r="E102" s="1133" t="s">
        <v>2391</v>
      </c>
      <c r="G102" s="1126" t="b">
        <f>G100="Yes"</f>
        <v>0</v>
      </c>
    </row>
    <row r="103" spans="2:9" ht="15" customHeight="1"/>
    <row r="104" spans="2:9" ht="15" customHeight="1">
      <c r="E104" s="1133" t="str">
        <f>E64</f>
        <v>Bedroom-Adjusted Low-Income Units</v>
      </c>
      <c r="G104" s="1165">
        <f>G27</f>
        <v>271.25</v>
      </c>
    </row>
    <row r="105" spans="2:9" ht="15" customHeight="1">
      <c r="E105" s="1133" t="s">
        <v>2327</v>
      </c>
      <c r="F105" s="1164" t="s">
        <v>2384</v>
      </c>
      <c r="G105" s="1094">
        <v>20000</v>
      </c>
    </row>
    <row r="106" spans="2:9" ht="15" customHeight="1">
      <c r="E106" s="1169" t="s">
        <v>2356</v>
      </c>
      <c r="F106" s="1090"/>
      <c r="G106" s="1174">
        <f>G102*G105*G104</f>
        <v>0</v>
      </c>
    </row>
    <row r="107" spans="2:9" ht="15" customHeight="1"/>
    <row r="108" spans="2:9" ht="15" customHeight="1">
      <c r="B108" s="1113" t="s">
        <v>2393</v>
      </c>
      <c r="C108" s="1114"/>
      <c r="D108" s="1114"/>
      <c r="E108" s="1114"/>
      <c r="F108" s="1114"/>
      <c r="G108" s="1114"/>
      <c r="H108" s="1114"/>
      <c r="I108" s="1115"/>
    </row>
    <row r="109" spans="2:9" ht="15" customHeight="1"/>
    <row r="110" spans="2:9" ht="15" customHeight="1">
      <c r="E110" s="1133" t="s">
        <v>592</v>
      </c>
      <c r="G110" s="1088" t="str">
        <f>IF(Application!T189="","",Application!T189)</f>
        <v>San Diego</v>
      </c>
    </row>
    <row r="111" spans="2:9" ht="15" customHeight="1">
      <c r="E111" s="1133"/>
      <c r="G111" s="1125"/>
    </row>
    <row r="112" spans="2:9" ht="15" customHeight="1">
      <c r="E112" s="1133" t="str">
        <f>"2-Bedroom "&amp;G110&amp;" County Basis Limit"</f>
        <v>2-Bedroom San Diego County Basis Limit</v>
      </c>
      <c r="G112" s="1125">
        <f>Application!R957</f>
        <v>491200</v>
      </c>
    </row>
    <row r="113" spans="4:9" ht="15" customHeight="1">
      <c r="E113" s="1133" t="s">
        <v>2392</v>
      </c>
      <c r="G113" s="1125">
        <f>MEDIAN((Application!BR795:BR852))</f>
        <v>489600</v>
      </c>
    </row>
    <row r="114" spans="4:9" ht="15" customHeight="1">
      <c r="D114" s="1090"/>
      <c r="E114" s="1169" t="s">
        <v>2394</v>
      </c>
      <c r="F114" s="1185"/>
      <c r="G114" s="1186">
        <f>((G112-G113)/G113)*0.25</f>
        <v>8.1699346405228761E-4</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 Strain</cp:lastModifiedBy>
  <cp:lastPrinted>2023-08-18T16:17:07Z</cp:lastPrinted>
  <dcterms:created xsi:type="dcterms:W3CDTF">2007-12-27T18:26:28Z</dcterms:created>
  <dcterms:modified xsi:type="dcterms:W3CDTF">2023-09-06T05:21:26Z</dcterms:modified>
</cp:coreProperties>
</file>