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d.docs.live.net/35e4f3b09568be22/Documents/Bold Capital/Affordable housing/Projects/Manteca/Funding/CDLAC/For Review/"/>
    </mc:Choice>
  </mc:AlternateContent>
  <xr:revisionPtr revIDLastSave="2" documentId="8_{BE10FA1C-61D6-47DD-86C3-6064DAD3CF5A}" xr6:coauthVersionLast="47" xr6:coauthVersionMax="47" xr10:uidLastSave="{E5528F69-CCF5-4DCA-8F47-2727112B62D1}"/>
  <bookViews>
    <workbookView xWindow="-120" yWindow="-120" windowWidth="29040" windowHeight="1572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Delta="0.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700" i="20" l="1"/>
  <c r="S85" i="4"/>
  <c r="C86" i="4"/>
  <c r="Q393" i="3" l="1"/>
  <c r="S13" i="4"/>
  <c r="AE60" i="7" l="1"/>
  <c r="AC60" i="7"/>
  <c r="AA60" i="7"/>
  <c r="Y60" i="7"/>
  <c r="W60" i="7"/>
  <c r="U60" i="7"/>
  <c r="S60" i="7"/>
  <c r="Q60" i="7"/>
  <c r="O60" i="7"/>
  <c r="M60" i="7"/>
  <c r="K60" i="7"/>
  <c r="I60" i="7"/>
  <c r="G60" i="7"/>
  <c r="E60" i="7"/>
  <c r="E41" i="7"/>
  <c r="E40" i="7"/>
  <c r="A41" i="7"/>
  <c r="A40" i="7"/>
  <c r="AD190" i="20"/>
  <c r="AD189" i="20"/>
  <c r="AD188" i="20"/>
  <c r="B190" i="20"/>
  <c r="B189" i="20"/>
  <c r="B188" i="20"/>
  <c r="F103" i="13"/>
  <c r="F102" i="13"/>
  <c r="F101" i="13"/>
  <c r="F100" i="13"/>
  <c r="F99" i="13"/>
  <c r="F95" i="13"/>
  <c r="F94" i="13"/>
  <c r="F93" i="13"/>
  <c r="F92" i="13"/>
  <c r="F91" i="13"/>
  <c r="F90" i="13"/>
  <c r="F89" i="13"/>
  <c r="F87" i="13"/>
  <c r="F84" i="13"/>
  <c r="F80" i="13"/>
  <c r="F79" i="13"/>
  <c r="F69" i="13"/>
  <c r="F68" i="13"/>
  <c r="F67" i="13"/>
  <c r="F66" i="13"/>
  <c r="F65" i="13"/>
  <c r="F53" i="13"/>
  <c r="F52" i="13"/>
  <c r="F51" i="13"/>
  <c r="F50" i="13"/>
  <c r="F49" i="13"/>
  <c r="F48" i="13"/>
  <c r="F47" i="13"/>
  <c r="F46" i="13"/>
  <c r="F45" i="13"/>
  <c r="F41" i="13"/>
  <c r="F40" i="13"/>
  <c r="F37" i="13"/>
  <c r="F36" i="13"/>
  <c r="F35" i="13"/>
  <c r="F34" i="13"/>
  <c r="F33" i="13"/>
  <c r="F32" i="13"/>
  <c r="F31" i="13"/>
  <c r="F30" i="13"/>
  <c r="F29" i="13"/>
  <c r="F14" i="13"/>
  <c r="F10" i="13"/>
  <c r="C103" i="13"/>
  <c r="C102" i="13"/>
  <c r="C101" i="13"/>
  <c r="C100" i="13"/>
  <c r="C99" i="13"/>
  <c r="C95" i="13"/>
  <c r="C94" i="13"/>
  <c r="C93" i="13"/>
  <c r="C92" i="13"/>
  <c r="C91" i="13"/>
  <c r="C90" i="13"/>
  <c r="C89" i="13"/>
  <c r="C88" i="13"/>
  <c r="C87"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1" i="13"/>
  <c r="C40" i="13"/>
  <c r="C37" i="13"/>
  <c r="C36" i="13"/>
  <c r="C35" i="13"/>
  <c r="C34" i="13"/>
  <c r="C33" i="13"/>
  <c r="C32" i="13"/>
  <c r="C31" i="13"/>
  <c r="C30" i="13"/>
  <c r="C29" i="13"/>
  <c r="C15" i="13"/>
  <c r="C14" i="13"/>
  <c r="C13" i="13"/>
  <c r="C10" i="13"/>
  <c r="C9" i="13"/>
  <c r="C7" i="13"/>
  <c r="C6" i="13"/>
  <c r="C5" i="13"/>
  <c r="C4" i="13"/>
  <c r="S99" i="4"/>
  <c r="S93" i="4"/>
  <c r="S92" i="4"/>
  <c r="S89" i="4"/>
  <c r="S87" i="4"/>
  <c r="S80" i="4"/>
  <c r="S79" i="4"/>
  <c r="S52" i="4"/>
  <c r="S51" i="4"/>
  <c r="S50" i="4"/>
  <c r="S49" i="4"/>
  <c r="S45" i="4"/>
  <c r="S41" i="4"/>
  <c r="S40" i="4"/>
  <c r="S37" i="4"/>
  <c r="S35" i="4"/>
  <c r="S34" i="4"/>
  <c r="S33" i="4"/>
  <c r="S32" i="4"/>
  <c r="S31" i="4"/>
  <c r="S30" i="4"/>
  <c r="S29" i="4"/>
  <c r="E99" i="4"/>
  <c r="C93" i="4"/>
  <c r="E93" i="4" s="1"/>
  <c r="E92" i="4"/>
  <c r="C91" i="4"/>
  <c r="E91" i="4" s="1"/>
  <c r="E90" i="4"/>
  <c r="E89" i="4"/>
  <c r="E88" i="4"/>
  <c r="E87" i="4"/>
  <c r="E86" i="4"/>
  <c r="E83" i="4"/>
  <c r="E80" i="4"/>
  <c r="E79" i="4"/>
  <c r="E75" i="4"/>
  <c r="E65" i="4"/>
  <c r="E58" i="4"/>
  <c r="C53" i="4"/>
  <c r="E53" i="4" s="1"/>
  <c r="E52" i="4"/>
  <c r="E51" i="4"/>
  <c r="E50" i="4"/>
  <c r="C49" i="4"/>
  <c r="E49" i="4" s="1"/>
  <c r="E46" i="4"/>
  <c r="C45" i="4"/>
  <c r="E45" i="4" s="1"/>
  <c r="E41" i="4"/>
  <c r="E40" i="4"/>
  <c r="E37" i="4"/>
  <c r="E35" i="4"/>
  <c r="G33" i="4"/>
  <c r="C32" i="4"/>
  <c r="G32" i="4" s="1"/>
  <c r="G31" i="4"/>
  <c r="G34" i="4" s="1"/>
  <c r="E34" i="4" s="1"/>
  <c r="E30" i="4"/>
  <c r="C29" i="4"/>
  <c r="F29" i="4" s="1"/>
  <c r="C13" i="4"/>
  <c r="E13" i="4" s="1"/>
  <c r="AA946" i="3"/>
  <c r="AA937" i="3"/>
  <c r="AA917" i="3"/>
  <c r="H656" i="3"/>
  <c r="G655" i="3"/>
  <c r="G654" i="3"/>
  <c r="G653" i="3"/>
  <c r="G652" i="3"/>
  <c r="Z647" i="3"/>
  <c r="Z646" i="3"/>
  <c r="Z645" i="3"/>
  <c r="Z644" i="3"/>
  <c r="Q493"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D89" i="11" s="1"/>
  <c r="C90" i="11"/>
  <c r="C91" i="11"/>
  <c r="D91" i="11" s="1"/>
  <c r="C92" i="11"/>
  <c r="D92" i="11" s="1"/>
  <c r="C93" i="11"/>
  <c r="D93" i="11" s="1"/>
  <c r="C94" i="11"/>
  <c r="C95" i="11"/>
  <c r="C96" i="11"/>
  <c r="B85" i="11"/>
  <c r="B86" i="11"/>
  <c r="B87" i="11"/>
  <c r="B88" i="11"/>
  <c r="B89" i="11"/>
  <c r="B90" i="11"/>
  <c r="B91" i="11"/>
  <c r="B92" i="11"/>
  <c r="B93" i="11"/>
  <c r="B94" i="11"/>
  <c r="B95" i="11"/>
  <c r="D95" i="11" s="1"/>
  <c r="B96" i="11"/>
  <c r="D96" i="11" s="1"/>
  <c r="A70" i="11"/>
  <c r="C67" i="11"/>
  <c r="C68" i="11"/>
  <c r="C69" i="11"/>
  <c r="C70" i="11"/>
  <c r="B67" i="11"/>
  <c r="B68" i="11"/>
  <c r="B69" i="11"/>
  <c r="B70" i="11"/>
  <c r="A62" i="11"/>
  <c r="A54" i="11"/>
  <c r="A38" i="11"/>
  <c r="A26" i="11"/>
  <c r="C31" i="11"/>
  <c r="C32" i="11"/>
  <c r="C33" i="11"/>
  <c r="C34" i="11"/>
  <c r="C35" i="11"/>
  <c r="D35" i="11" s="1"/>
  <c r="C36" i="11"/>
  <c r="D36" i="11" s="1"/>
  <c r="C37" i="11"/>
  <c r="C39" i="11" s="1"/>
  <c r="D39" i="11" s="1"/>
  <c r="C38" i="11"/>
  <c r="D38" i="11" s="1"/>
  <c r="B31" i="11"/>
  <c r="B32" i="11"/>
  <c r="B33" i="11"/>
  <c r="B34" i="11"/>
  <c r="B35" i="11"/>
  <c r="B36" i="11"/>
  <c r="B37" i="11"/>
  <c r="B38" i="11"/>
  <c r="C24" i="11"/>
  <c r="D24" i="11" s="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G58" i="7" s="1"/>
  <c r="I54" i="7"/>
  <c r="K54" i="7"/>
  <c r="M54" i="7" s="1"/>
  <c r="O54" i="7" s="1"/>
  <c r="Q54" i="7" s="1"/>
  <c r="S54" i="7" s="1"/>
  <c r="U54" i="7" s="1"/>
  <c r="W54" i="7" s="1"/>
  <c r="Y54" i="7" s="1"/>
  <c r="AA54" i="7" s="1"/>
  <c r="AC54" i="7" s="1"/>
  <c r="AE54" i="7" s="1"/>
  <c r="AG54" i="7" s="1"/>
  <c r="G55" i="7"/>
  <c r="I55" i="7"/>
  <c r="K55" i="7"/>
  <c r="M55" i="7"/>
  <c r="O55" i="7"/>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D81" i="11" s="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F85" i="13" s="1"/>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F13" i="13" s="1"/>
  <c r="E10" i="13"/>
  <c r="B99" i="13"/>
  <c r="B95" i="13"/>
  <c r="B94" i="13"/>
  <c r="B93" i="13"/>
  <c r="B92" i="13"/>
  <c r="B91" i="13"/>
  <c r="B90" i="13"/>
  <c r="B89" i="13"/>
  <c r="B88" i="13"/>
  <c r="B87" i="13"/>
  <c r="B86" i="13"/>
  <c r="C86" i="13" s="1"/>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s="1"/>
  <c r="E86" i="13" s="1"/>
  <c r="F86" i="13" s="1"/>
  <c r="F96" i="13" s="1"/>
  <c r="R85" i="4"/>
  <c r="R83" i="4"/>
  <c r="R76" i="4"/>
  <c r="R75" i="4"/>
  <c r="R77" i="4" s="1"/>
  <c r="R72" i="4"/>
  <c r="R73" i="4"/>
  <c r="R74" i="4"/>
  <c r="R69" i="4"/>
  <c r="R65" i="4"/>
  <c r="R70" i="4" s="1"/>
  <c r="R61" i="4"/>
  <c r="R60" i="4"/>
  <c r="R59" i="4"/>
  <c r="R58" i="4"/>
  <c r="R57" i="4"/>
  <c r="R56" i="4"/>
  <c r="R53" i="4"/>
  <c r="R52" i="4"/>
  <c r="R51" i="4"/>
  <c r="R50" i="4"/>
  <c r="R49" i="4"/>
  <c r="R48" i="4"/>
  <c r="R47" i="4"/>
  <c r="R54" i="4" s="1"/>
  <c r="R46" i="4"/>
  <c r="R45" i="4"/>
  <c r="R43" i="4"/>
  <c r="R41" i="4"/>
  <c r="R40" i="4"/>
  <c r="R42" i="4" s="1"/>
  <c r="R37" i="4"/>
  <c r="R35" i="4"/>
  <c r="R34" i="4"/>
  <c r="R33" i="4"/>
  <c r="R32" i="4"/>
  <c r="R31" i="4"/>
  <c r="R38" i="4" s="1"/>
  <c r="R30" i="4"/>
  <c r="R29" i="4"/>
  <c r="R27" i="4"/>
  <c r="R25" i="4"/>
  <c r="R23" i="4"/>
  <c r="R22" i="4"/>
  <c r="R21" i="4"/>
  <c r="R20" i="4"/>
  <c r="R19" i="4"/>
  <c r="R18" i="4"/>
  <c r="R17" i="4"/>
  <c r="R15" i="4"/>
  <c r="R14" i="4"/>
  <c r="R13" i="4"/>
  <c r="R9" i="4"/>
  <c r="R11" i="4"/>
  <c r="R7" i="4"/>
  <c r="R6" i="4"/>
  <c r="R5" i="4"/>
  <c r="R4" i="4"/>
  <c r="R8" i="4" s="1"/>
  <c r="B5" i="11"/>
  <c r="C5" i="11"/>
  <c r="C9" i="11" s="1"/>
  <c r="B6" i="11"/>
  <c r="C6" i="11"/>
  <c r="B7" i="11"/>
  <c r="C7" i="11"/>
  <c r="C8" i="11"/>
  <c r="B8" i="11"/>
  <c r="B10" i="11"/>
  <c r="B11" i="11"/>
  <c r="C10" i="11"/>
  <c r="C11" i="11"/>
  <c r="B14" i="11"/>
  <c r="C14" i="11"/>
  <c r="B15" i="11"/>
  <c r="C15" i="11"/>
  <c r="B16" i="11"/>
  <c r="C16" i="11"/>
  <c r="B18" i="11"/>
  <c r="C18" i="11"/>
  <c r="D18" i="11" s="1"/>
  <c r="B19" i="11"/>
  <c r="C19" i="11"/>
  <c r="D19" i="11" s="1"/>
  <c r="B20" i="11"/>
  <c r="C20" i="11"/>
  <c r="D20" i="11" s="1"/>
  <c r="B21" i="11"/>
  <c r="C21" i="11"/>
  <c r="D21" i="11" s="1"/>
  <c r="B22" i="11"/>
  <c r="C22" i="11"/>
  <c r="D22" i="11" s="1"/>
  <c r="B23" i="11"/>
  <c r="C23" i="11"/>
  <c r="B24" i="11"/>
  <c r="B28" i="11"/>
  <c r="C28" i="11"/>
  <c r="B30" i="11"/>
  <c r="B39" i="11" s="1"/>
  <c r="C30" i="11"/>
  <c r="D30" i="11"/>
  <c r="D33" i="11"/>
  <c r="D34" i="11"/>
  <c r="B41" i="11"/>
  <c r="D41" i="11" s="1"/>
  <c r="C41" i="11"/>
  <c r="C42" i="11"/>
  <c r="C43" i="11" s="1"/>
  <c r="D43" i="11" s="1"/>
  <c r="B42" i="11"/>
  <c r="D42" i="11" s="1"/>
  <c r="B44" i="11"/>
  <c r="C44" i="11"/>
  <c r="B46" i="11"/>
  <c r="B55" i="11" s="1"/>
  <c r="D55" i="11" s="1"/>
  <c r="C46" i="11"/>
  <c r="D46" i="11" s="1"/>
  <c r="B47" i="11"/>
  <c r="C47" i="11"/>
  <c r="B48" i="11"/>
  <c r="D48" i="11" s="1"/>
  <c r="B49" i="11"/>
  <c r="D49" i="11" s="1"/>
  <c r="B50" i="11"/>
  <c r="D50" i="11" s="1"/>
  <c r="B51" i="11"/>
  <c r="B52" i="11"/>
  <c r="B53" i="11"/>
  <c r="C48" i="11"/>
  <c r="C49" i="11"/>
  <c r="C50" i="11"/>
  <c r="C51" i="11"/>
  <c r="D51" i="11" s="1"/>
  <c r="C52" i="11"/>
  <c r="C53" i="11"/>
  <c r="B57" i="11"/>
  <c r="C57" i="11"/>
  <c r="B58" i="11"/>
  <c r="C58" i="11"/>
  <c r="B59" i="11"/>
  <c r="C59" i="11"/>
  <c r="B60" i="11"/>
  <c r="C60" i="11"/>
  <c r="B61" i="11"/>
  <c r="C61" i="11"/>
  <c r="B62" i="11"/>
  <c r="C62" i="11"/>
  <c r="B66" i="11"/>
  <c r="C66" i="11"/>
  <c r="D66" i="11" s="1"/>
  <c r="B73" i="11"/>
  <c r="C73" i="11"/>
  <c r="B74" i="11"/>
  <c r="C74" i="1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c r="C54" i="4"/>
  <c r="B54" i="13"/>
  <c r="C62" i="4"/>
  <c r="B62" i="13"/>
  <c r="C77" i="4"/>
  <c r="B77" i="4" s="1"/>
  <c r="B77" i="13"/>
  <c r="C96" i="4"/>
  <c r="B96" i="13" s="1"/>
  <c r="B104" i="13"/>
  <c r="D8" i="4"/>
  <c r="D11" i="4"/>
  <c r="D26" i="4"/>
  <c r="D38" i="4"/>
  <c r="D42" i="4"/>
  <c r="D54" i="4"/>
  <c r="B54" i="4"/>
  <c r="D62" i="4"/>
  <c r="D77" i="4"/>
  <c r="D96" i="4"/>
  <c r="D104" i="4"/>
  <c r="B104" i="4"/>
  <c r="E26" i="13"/>
  <c r="S38" i="4"/>
  <c r="E38" i="13"/>
  <c r="S42" i="4"/>
  <c r="E42" i="13"/>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D53" i="11"/>
  <c r="J63" i="13"/>
  <c r="J97" i="13"/>
  <c r="J105" i="13"/>
  <c r="J107" i="13"/>
  <c r="L12" i="4"/>
  <c r="D5" i="11"/>
  <c r="D70" i="11"/>
  <c r="D52" i="11"/>
  <c r="I12" i="4"/>
  <c r="G12" i="4"/>
  <c r="D6" i="11"/>
  <c r="L63" i="4"/>
  <c r="L97" i="4"/>
  <c r="L105" i="4"/>
  <c r="Q12" i="4"/>
  <c r="B11" i="4"/>
  <c r="O63" i="4"/>
  <c r="O97" i="4"/>
  <c r="O105" i="4"/>
  <c r="B8" i="4"/>
  <c r="N187" i="27" s="1"/>
  <c r="D10" i="11"/>
  <c r="G63" i="13"/>
  <c r="G97" i="13"/>
  <c r="G105" i="13"/>
  <c r="G107" i="13"/>
  <c r="D61" i="11"/>
  <c r="D57" i="11"/>
  <c r="D8" i="11"/>
  <c r="B43" i="11"/>
  <c r="D102" i="11"/>
  <c r="D94" i="11"/>
  <c r="K12" i="4"/>
  <c r="B78" i="11"/>
  <c r="D7" i="11"/>
  <c r="J12" i="4"/>
  <c r="O12" i="4"/>
  <c r="I63" i="4"/>
  <c r="I97" i="4"/>
  <c r="I105" i="4"/>
  <c r="B11" i="13"/>
  <c r="D12" i="4"/>
  <c r="H12" i="4"/>
  <c r="C82" i="11"/>
  <c r="B9" i="11"/>
  <c r="B13" i="11" s="1"/>
  <c r="D23" i="11"/>
  <c r="D73" i="11"/>
  <c r="D44" i="11"/>
  <c r="D76" i="11"/>
  <c r="D31" i="11"/>
  <c r="D32" i="11"/>
  <c r="D15" i="11"/>
  <c r="D63" i="13"/>
  <c r="D97" i="13"/>
  <c r="D105" i="13"/>
  <c r="D14" i="11"/>
  <c r="Q63" i="4"/>
  <c r="Q97" i="4"/>
  <c r="Q105" i="4"/>
  <c r="N63" i="4"/>
  <c r="N97" i="4"/>
  <c r="N105" i="4"/>
  <c r="N12" i="4"/>
  <c r="F12" i="4"/>
  <c r="D60" i="11"/>
  <c r="M12" i="4"/>
  <c r="D74" i="11"/>
  <c r="D59" i="11"/>
  <c r="P63" i="4"/>
  <c r="P97" i="4"/>
  <c r="P105" i="4"/>
  <c r="B38" i="4"/>
  <c r="C63" i="11"/>
  <c r="D63" i="11" s="1"/>
  <c r="B63" i="11"/>
  <c r="D12" i="13"/>
  <c r="D58" i="11"/>
  <c r="D62" i="11"/>
  <c r="D101" i="11"/>
  <c r="D90" i="11"/>
  <c r="R62" i="4"/>
  <c r="D75" i="11"/>
  <c r="B71" i="11"/>
  <c r="D28" i="11"/>
  <c r="C55" i="11"/>
  <c r="D103" i="11"/>
  <c r="D88" i="11"/>
  <c r="C78" i="11"/>
  <c r="D78" i="11" s="1"/>
  <c r="D16" i="11"/>
  <c r="B12" i="11"/>
  <c r="AD199" i="20"/>
  <c r="D77" i="11"/>
  <c r="D47" i="11"/>
  <c r="M63" i="4"/>
  <c r="M97" i="4"/>
  <c r="M105" i="4"/>
  <c r="R104" i="4"/>
  <c r="J63" i="4"/>
  <c r="J97" i="4"/>
  <c r="J105" i="4"/>
  <c r="C12" i="11"/>
  <c r="K63" i="4"/>
  <c r="K97" i="4"/>
  <c r="K105" i="4"/>
  <c r="B62" i="4"/>
  <c r="D104" i="11"/>
  <c r="E12" i="4"/>
  <c r="T63" i="4"/>
  <c r="T97" i="4"/>
  <c r="D11" i="11"/>
  <c r="C12" i="4"/>
  <c r="B12" i="13"/>
  <c r="B12" i="4"/>
  <c r="D12" i="11"/>
  <c r="H63" i="13"/>
  <c r="T105" i="4"/>
  <c r="H97" i="13"/>
  <c r="T107" i="4"/>
  <c r="H105" i="13"/>
  <c r="H107" i="13"/>
  <c r="AD11" i="15"/>
  <c r="AZ846" i="3"/>
  <c r="D87" i="11" l="1"/>
  <c r="D86" i="11"/>
  <c r="B97" i="11"/>
  <c r="C96" i="13"/>
  <c r="C97" i="11"/>
  <c r="F63" i="13"/>
  <c r="K58" i="7"/>
  <c r="M53" i="7"/>
  <c r="I58" i="7"/>
  <c r="G67" i="21"/>
  <c r="F97" i="13"/>
  <c r="F105" i="13" s="1"/>
  <c r="F107" i="13" s="1"/>
  <c r="C12" i="13"/>
  <c r="C63" i="13"/>
  <c r="C97" i="13" s="1"/>
  <c r="C105" i="13" s="1"/>
  <c r="S63" i="4"/>
  <c r="S97" i="4" s="1"/>
  <c r="S105" i="4" s="1"/>
  <c r="C105" i="11"/>
  <c r="D105" i="11" s="1"/>
  <c r="R96" i="4"/>
  <c r="D97" i="11"/>
  <c r="B96" i="4"/>
  <c r="D84" i="11"/>
  <c r="N186" i="27"/>
  <c r="N193" i="27" s="1"/>
  <c r="D82" i="11"/>
  <c r="C71" i="11"/>
  <c r="D71" i="11" s="1"/>
  <c r="D63" i="4"/>
  <c r="D97" i="4" s="1"/>
  <c r="D105" i="4" s="1"/>
  <c r="B42" i="4"/>
  <c r="H63" i="4"/>
  <c r="H97" i="4" s="1"/>
  <c r="H105" i="4" s="1"/>
  <c r="E63" i="4"/>
  <c r="E97" i="4" s="1"/>
  <c r="E105" i="4" s="1"/>
  <c r="R26" i="4"/>
  <c r="C27" i="11"/>
  <c r="B26" i="4"/>
  <c r="R12" i="4"/>
  <c r="R63" i="4"/>
  <c r="D9" i="11"/>
  <c r="C13" i="11"/>
  <c r="D13" i="11" s="1"/>
  <c r="B63"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C455" i="3" l="1"/>
  <c r="R97" i="4"/>
  <c r="R105" i="4" s="1"/>
  <c r="O53" i="7"/>
  <c r="M58" i="7"/>
  <c r="E63" i="13"/>
  <c r="E97" i="13"/>
  <c r="E105" i="13"/>
  <c r="S107" i="4"/>
  <c r="DX635" i="3"/>
  <c r="BH702" i="3"/>
  <c r="BI702" i="3" s="1"/>
  <c r="BH701" i="3"/>
  <c r="BI701" i="3" s="1"/>
  <c r="BU669" i="3"/>
  <c r="BU677" i="3"/>
  <c r="BU685" i="3"/>
  <c r="BU693" i="3"/>
  <c r="BU702" i="3"/>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U684" i="3"/>
  <c r="BU700" i="3"/>
  <c r="BU672" i="3"/>
  <c r="BU680" i="3"/>
  <c r="BU688" i="3"/>
  <c r="BV688" i="3" s="1"/>
  <c r="BU696" i="3"/>
  <c r="BV696" i="3" s="1"/>
  <c r="BU673" i="3"/>
  <c r="BU697" i="3"/>
  <c r="BU674" i="3"/>
  <c r="BU682" i="3"/>
  <c r="BV682" i="3" s="1"/>
  <c r="BU690" i="3"/>
  <c r="BU676" i="3"/>
  <c r="BU692" i="3"/>
  <c r="BV692" i="3" s="1"/>
  <c r="BU675" i="3"/>
  <c r="BV675" i="3" s="1"/>
  <c r="BU683" i="3"/>
  <c r="BU691" i="3"/>
  <c r="BV691" i="3" s="1"/>
  <c r="BU699" i="3"/>
  <c r="BH674" i="3"/>
  <c r="BI674" i="3" s="1"/>
  <c r="BH675" i="3"/>
  <c r="BI675" i="3" s="1"/>
  <c r="BH683" i="3"/>
  <c r="BI683" i="3" s="1"/>
  <c r="BH691" i="3"/>
  <c r="BI691" i="3" s="1"/>
  <c r="BH699" i="3"/>
  <c r="BI699" i="3" s="1"/>
  <c r="BH676" i="3"/>
  <c r="BH684" i="3"/>
  <c r="BH692" i="3"/>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BI700" i="3"/>
  <c r="BI692" i="3"/>
  <c r="AX683" i="20"/>
  <c r="AY684" i="20" s="1"/>
  <c r="I14" i="21"/>
  <c r="BV698"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0" i="3"/>
  <c r="BV684" i="3"/>
  <c r="BV685" i="3"/>
  <c r="BV669" i="3"/>
  <c r="BV677" i="3"/>
  <c r="BV676"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1" i="3"/>
  <c r="BI689" i="3"/>
  <c r="EH637" i="3"/>
  <c r="DR657" i="3"/>
  <c r="EM632" i="3"/>
  <c r="EM635" i="3"/>
  <c r="BI676" i="3"/>
  <c r="EM643" i="3"/>
  <c r="E6" i="7"/>
  <c r="K15" i="7"/>
  <c r="I22" i="7"/>
  <c r="I35" i="7" s="1"/>
  <c r="E27" i="21"/>
  <c r="G22" i="21"/>
  <c r="AC454" i="3" l="1"/>
  <c r="Q53" i="7"/>
  <c r="O58" i="7"/>
  <c r="AC456" i="3"/>
  <c r="AF540" i="20"/>
  <c r="E107" i="13"/>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9" i="21"/>
  <c r="P29" i="21" s="1" a="1"/>
  <c r="P29" i="21" s="1"/>
  <c r="R29" i="21" s="1"/>
  <c r="O25" i="21"/>
  <c r="P25" i="21" s="1" a="1"/>
  <c r="P25" i="21" s="1"/>
  <c r="R25"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3" i="7" l="1"/>
  <c r="Q58" i="7"/>
  <c r="T11" i="15"/>
  <c r="T23" i="15" s="1"/>
  <c r="T26" i="15" s="1"/>
  <c r="T28" i="15" s="1"/>
  <c r="Y11" i="15"/>
  <c r="Y23" i="15" s="1"/>
  <c r="Y26" i="15" s="1"/>
  <c r="Y28"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3" i="7" l="1"/>
  <c r="S58" i="7"/>
  <c r="Y64" i="15"/>
  <c r="Y68" i="15" s="1"/>
  <c r="T29" i="15"/>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U58" i="7" l="1"/>
  <c r="W53" i="7"/>
  <c r="T24" i="15"/>
  <c r="Y38" i="15" s="1"/>
  <c r="AP546" i="20"/>
  <c r="AP545" i="20" s="1"/>
  <c r="AP548" i="20" s="1"/>
  <c r="AF541" i="20" s="1"/>
  <c r="AF542" i="20" s="1"/>
  <c r="AK548" i="20" s="1"/>
  <c r="T807" i="20" s="1"/>
  <c r="AF807" i="20" s="1"/>
  <c r="K5" i="7"/>
  <c r="E47" i="7"/>
  <c r="E62" i="7"/>
  <c r="O4" i="7"/>
  <c r="M5" i="7"/>
  <c r="I45" i="7"/>
  <c r="I49" i="7"/>
  <c r="M6" i="7"/>
  <c r="K7" i="7"/>
  <c r="G47" i="7"/>
  <c r="G48" i="7"/>
  <c r="Q22" i="7"/>
  <c r="Q35" i="7" s="1"/>
  <c r="S15" i="7"/>
  <c r="G95" i="21"/>
  <c r="G96" i="21" s="1"/>
  <c r="G29" i="21"/>
  <c r="G31" i="21" s="1"/>
  <c r="E9" i="21" s="1"/>
  <c r="G104" i="21"/>
  <c r="G106" i="21" s="1"/>
  <c r="G79" i="21"/>
  <c r="G64" i="21"/>
  <c r="Q9" i="7"/>
  <c r="S8" i="7"/>
  <c r="Y53" i="7" l="1"/>
  <c r="W58" i="7"/>
  <c r="K11" i="7"/>
  <c r="K37" i="7" s="1"/>
  <c r="K45" i="7" s="1"/>
  <c r="O5" i="7"/>
  <c r="Q4" i="7"/>
  <c r="AD38" i="15"/>
  <c r="AD40" i="15" s="1"/>
  <c r="Y40" i="15"/>
  <c r="M7" i="7"/>
  <c r="M11" i="7" s="1"/>
  <c r="M37" i="7" s="1"/>
  <c r="O6" i="7"/>
  <c r="G62" i="7"/>
  <c r="I48" i="7"/>
  <c r="I47" i="7"/>
  <c r="G69" i="21"/>
  <c r="G81" i="21"/>
  <c r="G65" i="21"/>
  <c r="S22" i="7"/>
  <c r="S35" i="7" s="1"/>
  <c r="U15" i="7"/>
  <c r="E14" i="21"/>
  <c r="E15" i="21" s="1"/>
  <c r="U8" i="7"/>
  <c r="S9" i="7"/>
  <c r="AA53" i="7" l="1"/>
  <c r="Y58" i="7"/>
  <c r="K49" i="7"/>
  <c r="Y41" i="15"/>
  <c r="AB56" i="15" s="1"/>
  <c r="M26" i="3" s="1"/>
  <c r="S4" i="7"/>
  <c r="Q5" i="7"/>
  <c r="O7" i="7"/>
  <c r="O11" i="7" s="1"/>
  <c r="O37" i="7" s="1"/>
  <c r="Q6" i="7"/>
  <c r="M45" i="7"/>
  <c r="M49" i="7"/>
  <c r="I62" i="7"/>
  <c r="K47" i="7"/>
  <c r="K48" i="7"/>
  <c r="U22" i="7"/>
  <c r="U35" i="7" s="1"/>
  <c r="W15" i="7"/>
  <c r="G83" i="21"/>
  <c r="E13" i="21" s="1"/>
  <c r="E16" i="21" s="1"/>
  <c r="H3" i="21" s="1"/>
  <c r="U9" i="7"/>
  <c r="W8" i="7"/>
  <c r="AC53" i="7" l="1"/>
  <c r="AA58" i="7"/>
  <c r="AB57" i="15"/>
  <c r="U4" i="7"/>
  <c r="S5" i="7"/>
  <c r="P204" i="3"/>
  <c r="M48" i="7"/>
  <c r="M47" i="7"/>
  <c r="O45" i="7"/>
  <c r="O49" i="7"/>
  <c r="K62" i="7"/>
  <c r="Q7" i="7"/>
  <c r="Q11" i="7" s="1"/>
  <c r="Q37" i="7" s="1"/>
  <c r="S6" i="7"/>
  <c r="W22" i="7"/>
  <c r="W35" i="7" s="1"/>
  <c r="Y15" i="7"/>
  <c r="W9" i="7"/>
  <c r="Y8" i="7"/>
  <c r="AC58" i="7" l="1"/>
  <c r="AE53" i="7"/>
  <c r="AB59" i="15"/>
  <c r="AB76" i="15" s="1"/>
  <c r="AB77" i="15" s="1"/>
  <c r="AB78" i="15" s="1"/>
  <c r="U5" i="7"/>
  <c r="W4" i="7"/>
  <c r="Q49" i="7"/>
  <c r="Q45" i="7"/>
  <c r="M62" i="7"/>
  <c r="O47" i="7"/>
  <c r="O48" i="7"/>
  <c r="S7" i="7"/>
  <c r="S11" i="7" s="1"/>
  <c r="S37" i="7" s="1"/>
  <c r="U6" i="7"/>
  <c r="Y22" i="7"/>
  <c r="Y35" i="7" s="1"/>
  <c r="AA15" i="7"/>
  <c r="Y9" i="7"/>
  <c r="AA8" i="7"/>
  <c r="AG53" i="7" l="1"/>
  <c r="AG58" i="7" s="1"/>
  <c r="AE58" i="7"/>
  <c r="M27" i="3"/>
  <c r="I10" i="21"/>
  <c r="I11" i="21" s="1"/>
  <c r="I16" i="21" s="1"/>
  <c r="H4" i="21" s="1"/>
  <c r="H5" i="21" s="1"/>
  <c r="W5" i="7"/>
  <c r="Y4" i="7"/>
  <c r="AB80" i="15"/>
  <c r="J81" i="15" s="1"/>
  <c r="U7" i="7"/>
  <c r="U11" i="7" s="1"/>
  <c r="U37" i="7" s="1"/>
  <c r="W6" i="7"/>
  <c r="O62" i="7"/>
  <c r="Q48" i="7"/>
  <c r="Q47" i="7"/>
  <c r="S49" i="7"/>
  <c r="S45" i="7"/>
  <c r="AC15" i="7"/>
  <c r="AA22" i="7"/>
  <c r="AA35" i="7" s="1"/>
  <c r="AC8" i="7"/>
  <c r="AA9" i="7"/>
  <c r="P205" i="3" l="1"/>
  <c r="AA4" i="7"/>
  <c r="Y5" i="7"/>
  <c r="Y6" i="7"/>
  <c r="W7" i="7"/>
  <c r="W11" i="7" s="1"/>
  <c r="W37" i="7" s="1"/>
  <c r="U45" i="7"/>
  <c r="U49" i="7"/>
  <c r="Q62" i="7"/>
  <c r="S48" i="7"/>
  <c r="S47" i="7"/>
  <c r="AE15" i="7"/>
  <c r="AC22" i="7"/>
  <c r="AC35" i="7" s="1"/>
  <c r="AC9" i="7"/>
  <c r="AE8" i="7"/>
  <c r="AA5" i="7" l="1"/>
  <c r="AC4" i="7"/>
  <c r="S62" i="7"/>
  <c r="U48" i="7"/>
  <c r="U47" i="7"/>
  <c r="W49" i="7"/>
  <c r="W45" i="7"/>
  <c r="Y7" i="7"/>
  <c r="Y11" i="7" s="1"/>
  <c r="Y37" i="7" s="1"/>
  <c r="AA6" i="7"/>
  <c r="AE22" i="7"/>
  <c r="AE35" i="7" s="1"/>
  <c r="AG15" i="7"/>
  <c r="AG22" i="7" s="1"/>
  <c r="AG35" i="7" s="1"/>
  <c r="AE9" i="7"/>
  <c r="AG8" i="7"/>
  <c r="AG9" i="7" s="1"/>
  <c r="AC5" i="7" l="1"/>
  <c r="AE4" i="7"/>
  <c r="AC6" i="7"/>
  <c r="AA7" i="7"/>
  <c r="AA11" i="7" s="1"/>
  <c r="AA37" i="7" s="1"/>
  <c r="U62" i="7"/>
  <c r="Y49" i="7"/>
  <c r="Y45" i="7"/>
  <c r="W47" i="7"/>
  <c r="W48" i="7"/>
  <c r="AE5" i="7" l="1"/>
  <c r="AG4" i="7"/>
  <c r="AG5" i="7" s="1"/>
  <c r="AA45" i="7"/>
  <c r="AA49" i="7"/>
  <c r="W62" i="7"/>
  <c r="Y47" i="7"/>
  <c r="Y48" i="7"/>
  <c r="AE6" i="7"/>
  <c r="AC7" i="7"/>
  <c r="AC11" i="7" s="1"/>
  <c r="AC37" i="7" s="1"/>
  <c r="AA47" i="7" l="1"/>
  <c r="AA48" i="7"/>
  <c r="AC45" i="7"/>
  <c r="AC49" i="7"/>
  <c r="AE7" i="7"/>
  <c r="AE11" i="7" s="1"/>
  <c r="AE37" i="7" s="1"/>
  <c r="AG6" i="7"/>
  <c r="Y62" i="7"/>
  <c r="AG7" i="7" l="1"/>
  <c r="AG11" i="7" s="1"/>
  <c r="AG37" i="7" s="1"/>
  <c r="AE49" i="7"/>
  <c r="AE45" i="7"/>
  <c r="AC48" i="7"/>
  <c r="AC47" i="7"/>
  <c r="AA62" i="7"/>
  <c r="AC62" i="7" l="1"/>
  <c r="AE47" i="7"/>
  <c r="AE48" i="7"/>
  <c r="AG49" i="7"/>
  <c r="AG45" i="7"/>
  <c r="AG48" i="7" l="1"/>
  <c r="AG60" i="7"/>
  <c r="AG47" i="7"/>
  <c r="AE62" i="7"/>
  <c r="AG62" i="7" l="1"/>
  <c r="BI693" i="3" l="1"/>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9002F15F-F50A-4F3C-9FC2-7387C424979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<sst xmlns="http://schemas.openxmlformats.org/spreadsheetml/2006/main" count="5294" uniqueCount="2777">
  <si>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</si>
  <si>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</si>
  <si>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</si>
  <si>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</si>
  <si>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</si>
  <si>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</si>
  <si>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</si>
  <si>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</si>
  <si>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</si>
  <si>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</si>
  <si>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</si>
  <si>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</si>
  <si>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</si>
  <si>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</si>
  <si>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</si>
  <si>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</si>
  <si>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</si>
  <si>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</si>
  <si>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</si>
  <si>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</si>
  <si>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</si>
  <si>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</si>
  <si>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</si>
  <si>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</si>
  <si>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</si>
  <si>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</si>
  <si>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</si>
  <si>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</si>
  <si>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</si>
  <si>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</si>
  <si>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</si>
  <si>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</si>
  <si>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</si>
  <si>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</si>
  <si>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</si>
  <si>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</si>
  <si>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</si>
  <si>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</si>
  <si>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</si>
  <si>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</si>
  <si>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</si>
  <si>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</si>
  <si>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</si>
  <si>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</si>
  <si>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</si>
  <si>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</si>
  <si>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</si>
  <si>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</si>
  <si>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</si>
  <si>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</si>
  <si>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</si>
  <si>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</si>
  <si>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</si>
  <si>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</si>
  <si>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</si>
  <si>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</si>
  <si>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</si>
  <si>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</si>
  <si>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</si>
  <si>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</si>
  <si>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</si>
  <si>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</si>
  <si>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</si>
  <si>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</si>
  <si>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</si>
  <si>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</si>
  <si>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</si>
  <si>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</si>
  <si>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</si>
  <si>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</si>
  <si>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</si>
  <si>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</si>
  <si>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</si>
  <si>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</si>
  <si>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</si>
  <si>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</si>
  <si>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</si>
  <si>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</si>
  <si>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</si>
  <si>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</si>
  <si>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</si>
  <si>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</si>
  <si>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</si>
  <si>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</si>
  <si>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</si>
  <si>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</si>
  <si>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</si>
  <si>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</si>
  <si>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</si>
  <si>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</si>
  <si>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</si>
  <si>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</si>
  <si>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</si>
  <si>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</si>
  <si>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</si>
  <si>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</si>
  <si>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</si>
  <si>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</si>
  <si>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</si>
  <si>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</si>
  <si>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</si>
  <si>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</si>
  <si>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</si>
  <si>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</si>
  <si>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</si>
  <si>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</si>
  <si>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</si>
  <si>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</si>
  <si>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</si>
  <si>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</si>
  <si>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</si>
  <si>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</si>
  <si>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</si>
  <si>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</si>
  <si>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</si>
  <si>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</si>
  <si>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</si>
  <si>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</si>
  <si>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</si>
  <si>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</si>
  <si>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</si>
  <si>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</si>
  <si>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</si>
  <si>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</si>
  <si>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</si>
  <si>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</si>
  <si>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</si>
  <si>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</si>
  <si>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</si>
  <si>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</si>
  <si>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</si>
  <si>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</si>
  <si>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</si>
  <si>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</si>
  <si>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</si>
  <si>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</si>
  <si>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</si>
  <si>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</si>
  <si>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</si>
  <si>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</si>
  <si>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</si>
  <si>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</si>
  <si>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</si>
  <si>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</si>
  <si>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</si>
  <si>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</si>
  <si>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</si>
  <si>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</si>
  <si>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</si>
  <si>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</si>
  <si>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</si>
  <si>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</si>
  <si>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</si>
  <si>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</si>
  <si>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</si>
  <si>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</si>
  <si>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</si>
  <si>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</si>
  <si>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</si>
  <si>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</si>
  <si>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</si>
  <si>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</si>
  <si>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</si>
  <si>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</si>
  <si>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</si>
  <si>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</si>
  <si>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</si>
  <si>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</si>
  <si>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</si>
  <si>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</si>
  <si>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</si>
  <si>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</si>
  <si>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</si>
  <si>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</si>
  <si>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</si>
  <si>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</si>
  <si>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</si>
  <si>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</si>
  <si>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</si>
  <si>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</si>
  <si>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</si>
  <si>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</si>
  <si>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</si>
  <si>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</si>
  <si>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</si>
  <si>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</si>
  <si>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</si>
  <si>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</si>
  <si>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</si>
  <si>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</si>
  <si>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</si>
  <si>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</si>
  <si>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</si>
  <si>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</si>
  <si>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</si>
  <si>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</si>
  <si>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</si>
  <si>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</si>
  <si>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</si>
  <si>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</si>
  <si>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</si>
  <si>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</si>
  <si>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</si>
  <si>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</si>
  <si>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</si>
  <si>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</si>
  <si>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</si>
  <si>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</si>
  <si>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</si>
  <si>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</si>
  <si>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</si>
  <si>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</si>
  <si>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</si>
  <si>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</si>
  <si>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</si>
  <si>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</si>
  <si>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</si>
  <si>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</si>
  <si>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</si>
  <si>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</si>
  <si>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</si>
  <si>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</si>
  <si>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</si>
  <si>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</si>
  <si>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</si>
  <si>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</si>
  <si>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</si>
  <si>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</si>
  <si>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</si>
  <si>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</si>
  <si>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</si>
  <si>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</si>
  <si>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</si>
  <si>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</si>
  <si>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</si>
  <si>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</si>
  <si>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</si>
  <si>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</si>
  <si>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</si>
  <si>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</si>
  <si>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</si>
  <si>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</si>
  <si>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</si>
  <si>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</si>
  <si>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</si>
  <si>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</si>
  <si>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</si>
  <si>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</si>
  <si>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</si>
  <si>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</si>
  <si>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</si>
  <si>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</si>
  <si>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</si>
  <si>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</si>
  <si>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</si>
  <si>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</si>
  <si>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</si>
  <si>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</si>
  <si>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</si>
  <si>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</si>
  <si>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</si>
  <si>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</si>
  <si>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</si>
  <si>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</si>
  <si>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</si>
  <si>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</si>
  <si>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</si>
  <si>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</si>
  <si>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</si>
  <si>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</si>
  <si>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</si>
  <si>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</si>
  <si>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</si>
  <si>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</si>
  <si>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</si>
  <si>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</si>
  <si>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</si>
  <si>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</si>
  <si>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</si>
  <si>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</si>
  <si>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</si>
  <si>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</si>
  <si>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</si>
  <si>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</si>
  <si>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</si>
  <si>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</si>
  <si>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</si>
  <si>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</si>
  <si>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</si>
  <si>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</si>
  <si>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</si>
  <si>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</si>
  <si>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</si>
  <si>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</si>
  <si>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</si>
  <si>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</si>
  <si>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</si>
  <si>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</si>
  <si>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</si>
  <si>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</si>
  <si>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</si>
  <si>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</si>
  <si>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</si>
  <si>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</si>
  <si>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</si>
  <si>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</si>
  <si>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</si>
  <si>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</si>
  <si>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</si>
  <si>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</si>
  <si>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</si>
  <si>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</si>
  <si>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</si>
  <si>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</si>
  <si>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</si>
  <si>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</si>
  <si>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</si>
  <si>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</si>
  <si>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</si>
  <si>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</si>
  <si>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</si>
  <si>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</si>
  <si>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</si>
  <si>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</si>
  <si>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</si>
  <si>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</si>
  <si>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</si>
  <si>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</si>
  <si>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</si>
  <si>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</si>
  <si>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</si>
  <si>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</si>
  <si>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</si>
  <si>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</si>
  <si>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</si>
  <si>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</si>
  <si>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</si>
  <si>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</si>
  <si>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</si>
  <si>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</si>
  <si>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</si>
  <si>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</si>
  <si>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</si>
  <si>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</si>
  <si>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</si>
  <si>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</si>
  <si>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</si>
  <si>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</si>
  <si>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</si>
  <si>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</si>
  <si>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</si>
  <si>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</si>
  <si>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</si>
  <si>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</si>
  <si>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</si>
  <si>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</si>
  <si>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</si>
  <si>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</si>
  <si>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</si>
  <si>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</si>
  <si>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</si>
  <si>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</si>
  <si>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</si>
  <si>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</si>
  <si>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</si>
  <si>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</si>
  <si>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</si>
  <si>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</si>
  <si>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</si>
  <si>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</si>
  <si>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</si>
  <si>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</si>
  <si>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</si>
  <si>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</si>
  <si>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</si>
  <si>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</si>
  <si>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</si>
  <si>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</si>
  <si>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</si>
  <si>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</si>
  <si>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</si>
  <si>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</si>
  <si>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</si>
  <si>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</si>
  <si>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</si>
  <si>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</si>
  <si>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</si>
  <si>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</si>
  <si>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</si>
  <si>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</si>
  <si>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</si>
  <si>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</si>
  <si>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</si>
  <si>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</si>
  <si>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</si>
  <si>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</si>
  <si>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</si>
  <si>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</si>
  <si>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</si>
  <si>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</si>
  <si>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</si>
  <si>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</si>
  <si>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</si>
  <si>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</si>
  <si>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</si>
  <si>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</si>
  <si>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</si>
  <si>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</si>
  <si>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</si>
  <si>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</si>
  <si>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</si>
  <si>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</si>
  <si>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</si>
  <si>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</si>
  <si>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</si>
  <si>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</si>
  <si>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</si>
  <si>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</si>
  <si>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</si>
  <si>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</si>
  <si>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</si>
  <si>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</si>
  <si>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</si>
  <si>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</si>
  <si>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</si>
  <si>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</si>
  <si>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</si>
  <si>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</si>
  <si>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</si>
  <si>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</si>
  <si>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</si>
  <si>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</si>
  <si>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</si>
  <si>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</si>
  <si>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</si>
  <si>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</si>
  <si>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</si>
  <si>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</si>
  <si>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</si>
  <si>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</si>
  <si>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</si>
  <si>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</si>
  <si>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</si>
  <si>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</si>
  <si>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</si>
  <si>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</si>
  <si>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</si>
  <si>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</si>
  <si>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</si>
  <si>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</si>
  <si>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</si>
  <si>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</si>
  <si>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</si>
  <si>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</si>
  <si>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</si>
  <si>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</si>
  <si>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</si>
  <si>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</si>
  <si>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</si>
  <si>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</si>
  <si>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</si>
  <si>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</si>
  <si>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</si>
  <si>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</si>
  <si>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</si>
  <si>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</si>
  <si>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</si>
  <si>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</si>
  <si>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</si>
  <si>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</si>
  <si>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</si>
  <si>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</si>
  <si>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</si>
  <si>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</si>
  <si>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</si>
  <si>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</si>
  <si>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</si>
  <si>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</si>
  <si>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</si>
  <si>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</si>
  <si>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</si>
  <si>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</si>
  <si>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</si>
  <si>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</si>
  <si>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</si>
  <si>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</si>
  <si>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</si>
  <si>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</si>
  <si>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</si>
  <si>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</si>
  <si>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</si>
  <si>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</si>
  <si>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</si>
  <si>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</si>
  <si>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</si>
  <si>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</si>
  <si>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</si>
  <si>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</si>
  <si>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</si>
  <si>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</si>
  <si>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</si>
  <si>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</si>
  <si>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</si>
  <si>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</si>
  <si>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</si>
  <si>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</si>
  <si>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</si>
  <si>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</si>
  <si>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</si>
  <si>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</si>
  <si>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</si>
  <si>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</si>
  <si>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</si>
  <si>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</si>
  <si>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</si>
  <si>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</si>
  <si>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</si>
  <si>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</si>
  <si>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</si>
  <si>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</si>
  <si>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</si>
  <si>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</si>
  <si>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</si>
  <si>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</si>
  <si>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</si>
  <si>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</si>
  <si>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</si>
  <si>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</si>
  <si>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</si>
  <si>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</si>
  <si>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</si>
  <si>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</si>
  <si>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</si>
  <si>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</si>
  <si>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</si>
  <si>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</si>
  <si>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</si>
  <si>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</si>
  <si>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</si>
  <si>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</si>
  <si>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</si>
  <si>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</si>
  <si>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</si>
  <si>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</si>
  <si>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</si>
  <si>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</si>
  <si>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</si>
  <si>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</si>
  <si>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</si>
  <si>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</si>
  <si>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</si>
  <si>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</si>
  <si>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</si>
  <si>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</si>
  <si>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</si>
  <si>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</si>
  <si>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</si>
  <si>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</si>
  <si>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</si>
  <si>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</si>
  <si>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</si>
  <si>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</si>
  <si>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</si>
  <si>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</si>
  <si>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</si>
  <si>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</si>
  <si>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</si>
  <si>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</si>
  <si>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</si>
  <si>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</si>
  <si>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</si>
  <si>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</si>
  <si>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</si>
  <si>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</si>
  <si>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</si>
  <si>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</si>
  <si>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</si>
  <si>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</si>
  <si>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</si>
  <si>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</si>
  <si>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</si>
  <si>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</si>
  <si>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</si>
  <si>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</si>
  <si>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</si>
  <si>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</si>
  <si>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</si>
  <si>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</si>
  <si>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</si>
  <si>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</si>
  <si>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</si>
  <si>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</si>
  <si>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</si>
  <si>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</si>
  <si>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</si>
  <si>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</si>
  <si>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</si>
  <si>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</si>
  <si>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</si>
  <si>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</si>
  <si>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</si>
  <si>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</si>
  <si>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</si>
  <si>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</si>
  <si>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</si>
  <si>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</si>
  <si>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</si>
  <si>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</si>
  <si>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</si>
  <si>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</si>
  <si>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</si>
  <si>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</si>
  <si>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</si>
  <si>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</si>
  <si>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</si>
  <si>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</si>
  <si>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</si>
  <si>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</si>
  <si>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</si>
  <si>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</si>
  <si>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</si>
  <si>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</si>
  <si>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</si>
  <si>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</si>
  <si>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</si>
  <si>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</si>
  <si>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</si>
  <si>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</si>
  <si>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</si>
  <si>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</si>
  <si>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</si>
  <si>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</si>
  <si>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</si>
  <si>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</si>
  <si>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</si>
  <si>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</si>
  <si>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</si>
  <si>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</si>
  <si>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</si>
  <si>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</si>
  <si>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</si>
  <si>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</si>
  <si>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</si>
  <si>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</si>
  <si>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</si>
  <si>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</si>
  <si>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</si>
  <si>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</si>
  <si>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</si>
  <si>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</si>
  <si>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</si>
  <si>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</si>
  <si>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</si>
  <si>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</si>
  <si>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</si>
  <si>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</si>
  <si>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</si>
  <si>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</si>
  <si>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</si>
  <si>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</si>
  <si>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</si>
  <si>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</si>
  <si>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</si>
  <si>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</si>
  <si>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</si>
  <si>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</si>
  <si>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</si>
  <si>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</si>
  <si>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</si>
  <si>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</si>
  <si>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</si>
  <si>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</si>
  <si>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</si>
  <si>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</si>
  <si>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</si>
  <si>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</si>
  <si>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</si>
  <si>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</si>
  <si>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</si>
  <si>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</si>
  <si>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</si>
  <si>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</si>
  <si>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</si>
  <si>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</si>
  <si>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</si>
  <si>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</si>
  <si>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</si>
  <si>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</si>
  <si>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</si>
  <si>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</si>
  <si>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</si>
  <si>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</si>
  <si>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</si>
  <si>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</si>
  <si>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</si>
  <si>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</si>
  <si>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</si>
  <si>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</si>
  <si>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</si>
  <si>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</si>
  <si>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</si>
  <si>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</si>
  <si>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</si>
  <si>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</si>
  <si>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</si>
  <si>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</si>
  <si>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</si>
  <si>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</si>
  <si>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</si>
  <si>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</si>
  <si>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</si>
  <si>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</si>
  <si>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</si>
  <si>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</si>
  <si>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</si>
  <si>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</si>
  <si>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</si>
  <si>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</si>
  <si>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</si>
  <si>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</si>
  <si>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</si>
  <si>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</si>
  <si>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</si>
  <si>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</si>
  <si>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</si>
  <si>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</si>
  <si>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</si>
  <si>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</si>
  <si>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</si>
  <si>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</si>
  <si>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</si>
  <si>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</si>
  <si>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</si>
  <si>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</si>
  <si>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</si>
  <si>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</si>
  <si>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</si>
  <si>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</si>
  <si>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</si>
  <si>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</si>
  <si>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</si>
  <si>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</si>
  <si>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</si>
  <si>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</si>
  <si>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</si>
  <si>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</si>
  <si>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</si>
  <si>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</si>
  <si>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</si>
  <si>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</si>
  <si>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</si>
  <si>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</si>
  <si>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</si>
  <si>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</si>
  <si>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</si>
  <si>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</si>
  <si>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</si>
  <si>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</si>
  <si>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</si>
  <si>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</si>
  <si>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</si>
  <si>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</si>
  <si>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</si>
  <si>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</si>
  <si>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</si>
  <si>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</si>
  <si>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</si>
  <si>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</si>
  <si>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</si>
  <si>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</si>
  <si>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</si>
  <si>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</si>
  <si>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</si>
  <si>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</si>
  <si>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</si>
  <si>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</si>
  <si>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</si>
  <si>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</si>
  <si>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</si>
  <si>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</si>
  <si>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</si>
  <si>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</si>
  <si>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</si>
  <si>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</si>
  <si>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</si>
  <si>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</si>
  <si>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</si>
  <si>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</si>
  <si>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</si>
  <si>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</si>
  <si>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</si>
  <si>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</si>
  <si>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</si>
  <si>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</si>
  <si>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</si>
  <si>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</si>
  <si>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</si>
  <si>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</si>
  <si>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</si>
  <si>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</si>
  <si>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</si>
  <si>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</si>
  <si>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</si>
  <si>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</si>
  <si>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</si>
  <si>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</si>
  <si>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</si>
  <si>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</si>
  <si>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</si>
  <si>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</si>
  <si>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</si>
  <si>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</si>
  <si>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</si>
  <si>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</si>
  <si>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</si>
  <si>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</si>
  <si>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</si>
  <si>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</si>
  <si>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</si>
  <si>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</si>
  <si>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</si>
  <si>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</si>
  <si>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</si>
  <si>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</si>
  <si>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</si>
  <si>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</si>
  <si>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</si>
  <si>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</si>
  <si>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</si>
  <si>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</si>
  <si>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</si>
  <si>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</si>
  <si>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</si>
  <si>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</si>
  <si>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</si>
  <si>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</si>
  <si>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</si>
  <si>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</si>
  <si>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</si>
  <si>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</si>
  <si>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</si>
  <si>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</si>
  <si>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</si>
  <si>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</si>
  <si>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</si>
  <si>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</si>
  <si>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</si>
  <si>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</si>
  <si>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</si>
  <si>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</si>
  <si>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</si>
  <si>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</si>
  <si>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</si>
  <si>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</si>
  <si>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</si>
  <si>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</si>
  <si>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</si>
  <si>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</si>
  <si>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</si>
  <si>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</si>
  <si>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</si>
  <si>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</si>
  <si>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</si>
  <si>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</si>
  <si>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</si>
  <si>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</si>
  <si>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</si>
  <si>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</si>
  <si>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</si>
  <si>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</si>
  <si>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</si>
  <si>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</si>
  <si>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</si>
  <si>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</si>
  <si>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</si>
  <si>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</si>
  <si>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</si>
  <si>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</si>
  <si>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</si>
  <si>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</si>
  <si>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</si>
  <si>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</si>
  <si>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</si>
  <si>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</si>
  <si>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</si>
  <si>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</si>
  <si>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</si>
  <si>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</si>
  <si>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</si>
  <si>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</si>
  <si>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</si>
  <si>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</si>
  <si>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</si>
  <si>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</si>
  <si>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</si>
  <si>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</si>
  <si>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</si>
  <si>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</si>
  <si>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</si>
  <si>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</si>
  <si>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</si>
  <si>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</si>
  <si>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</si>
  <si>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</si>
  <si>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</si>
  <si>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</si>
  <si>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</si>
  <si>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</si>
  <si>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</si>
  <si>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</si>
  <si>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</si>
  <si>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</si>
  <si>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</si>
  <si>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</si>
  <si>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</si>
  <si>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</si>
  <si>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</si>
  <si>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</si>
  <si>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</si>
  <si>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</si>
  <si>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</si>
  <si>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</si>
  <si>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</si>
  <si>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</si>
  <si>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</si>
  <si>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</si>
  <si>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</si>
  <si>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</si>
  <si>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</si>
  <si>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</si>
  <si>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</si>
  <si>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</si>
  <si>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</si>
  <si>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</si>
  <si>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</si>
  <si>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</si>
  <si>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</si>
  <si>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</si>
  <si>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</si>
  <si>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</si>
  <si>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</si>
  <si>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</si>
  <si>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</si>
  <si>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</si>
  <si>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</si>
  <si>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</si>
  <si>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</si>
  <si>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</si>
  <si>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</si>
  <si>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</si>
  <si>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</si>
  <si>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</si>
  <si>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</si>
  <si>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</si>
  <si>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</si>
  <si>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</si>
  <si>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</si>
  <si>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</si>
  <si>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</si>
  <si>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</si>
  <si>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</si>
  <si>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</si>
  <si>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</si>
  <si>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</si>
  <si>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</si>
  <si>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</si>
  <si>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</si>
  <si>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</si>
  <si>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</si>
  <si>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</si>
  <si>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</si>
  <si>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</si>
  <si>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</si>
  <si>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</si>
  <si>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</si>
  <si>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</si>
  <si>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</si>
  <si>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</si>
  <si>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</si>
  <si>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</si>
  <si>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</si>
  <si>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</si>
  <si>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</si>
  <si>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</si>
  <si>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</si>
  <si>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</si>
  <si>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</si>
  <si>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</si>
  <si>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</si>
  <si>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</si>
  <si>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</si>
  <si>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</si>
  <si>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</si>
  <si>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</si>
  <si>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</si>
  <si>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</si>
  <si>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</si>
  <si>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</si>
  <si>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</si>
  <si>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</si>
  <si>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</si>
  <si>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</si>
  <si>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</si>
  <si>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</si>
  <si>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</si>
  <si>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</si>
  <si>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</si>
  <si>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</si>
  <si>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</si>
  <si>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</si>
  <si>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</si>
  <si>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</si>
  <si>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</si>
  <si>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</si>
  <si>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</si>
  <si>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</si>
  <si>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</si>
  <si>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</si>
  <si>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</si>
  <si>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</si>
  <si>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</si>
  <si>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</si>
  <si>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</si>
  <si>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</si>
  <si>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</si>
  <si>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</si>
  <si>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</si>
  <si>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</si>
  <si>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</si>
  <si>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</si>
  <si>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</si>
  <si>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</si>
  <si>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</si>
  <si>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</si>
  <si>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</si>
  <si>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</si>
  <si>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</si>
  <si>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</si>
  <si>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</si>
  <si>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</si>
  <si>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</si>
  <si>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</si>
  <si>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</si>
  <si>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</si>
  <si>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</si>
  <si>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</si>
  <si>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</si>
  <si>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</si>
  <si>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</si>
  <si>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</si>
  <si>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</si>
  <si>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</si>
  <si>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</si>
  <si>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</si>
  <si>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</si>
  <si>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</si>
  <si>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</si>
  <si>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</si>
  <si>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</si>
  <si>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</si>
  <si>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</si>
  <si>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</si>
  <si>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</si>
  <si>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</si>
  <si>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</si>
  <si>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</si>
  <si>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</si>
  <si>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</si>
  <si>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</si>
  <si>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</si>
  <si>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</si>
  <si>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</si>
  <si>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</si>
  <si>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</si>
  <si>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</si>
  <si>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</si>
  <si>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</si>
  <si>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</si>
  <si>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</si>
  <si>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</si>
  <si>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</si>
  <si>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</si>
  <si>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</si>
  <si>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</si>
  <si>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</si>
  <si>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</si>
  <si>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</si>
  <si>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</si>
  <si>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</si>
  <si>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</si>
  <si>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</si>
  <si>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</si>
  <si>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</si>
  <si>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</si>
  <si>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</si>
  <si>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</si>
  <si>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</si>
  <si>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</si>
  <si>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</si>
  <si>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</si>
  <si>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</si>
  <si>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</si>
  <si>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</si>
  <si>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</si>
  <si>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</si>
  <si>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</si>
  <si>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</si>
  <si>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</si>
  <si>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</si>
  <si>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</si>
  <si>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</si>
  <si>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</si>
  <si>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</si>
  <si>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</si>
  <si>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</si>
  <si>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</si>
  <si>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</si>
  <si>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</si>
  <si>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</si>
  <si>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</si>
  <si>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</si>
  <si>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</si>
  <si>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</si>
  <si>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</si>
  <si>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</si>
  <si>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</si>
  <si>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</si>
  <si>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</si>
  <si>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</si>
  <si>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</si>
  <si>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</si>
  <si>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</si>
  <si>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</si>
  <si>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</si>
  <si>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</si>
  <si>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</si>
  <si>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</si>
  <si>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</si>
  <si>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</si>
  <si>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</si>
  <si>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</si>
  <si>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</si>
  <si>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</si>
  <si>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</si>
  <si>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</si>
  <si>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</si>
  <si>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</si>
  <si>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</si>
  <si>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</si>
  <si>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</si>
  <si>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</si>
  <si>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</si>
  <si>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</si>
  <si>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</si>
  <si>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</si>
  <si>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</si>
  <si>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</si>
  <si>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</si>
  <si>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</si>
  <si>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</si>
  <si>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</si>
  <si>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</si>
  <si>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</si>
  <si>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</si>
  <si>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</si>
  <si>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</si>
  <si>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</si>
  <si>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</si>
  <si>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</si>
  <si>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</si>
  <si>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</si>
  <si>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</si>
  <si>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</si>
  <si>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</si>
  <si>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</si>
  <si>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</si>
  <si>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</si>
  <si>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</si>
  <si>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</si>
  <si>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</si>
  <si>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</si>
  <si>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</si>
  <si>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</si>
  <si>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</si>
  <si>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</si>
  <si>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</si>
  <si>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</si>
  <si>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</si>
  <si>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</si>
  <si>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</si>
  <si>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</si>
  <si>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</si>
  <si>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</si>
  <si>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</si>
  <si>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</si>
  <si>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</si>
  <si>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</si>
  <si>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</si>
  <si>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</si>
  <si>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</si>
  <si>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</si>
  <si>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</si>
  <si>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</si>
  <si>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</si>
  <si>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</si>
  <si>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</si>
  <si>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</si>
  <si>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</si>
  <si>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</si>
  <si>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</si>
  <si>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</si>
  <si>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</si>
  <si>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</si>
  <si>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</si>
  <si>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</si>
  <si>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</si>
  <si>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</si>
  <si>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</si>
  <si>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</si>
  <si>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</si>
  <si>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</si>
  <si>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</si>
  <si>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</si>
  <si>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</si>
  <si>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</si>
  <si>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</si>
  <si>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</si>
  <si>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</si>
  <si>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</si>
  <si>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</si>
  <si>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</si>
  <si>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</si>
  <si>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</si>
  <si>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</si>
  <si>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</si>
  <si>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</si>
  <si>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</si>
  <si>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</si>
  <si>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</si>
  <si>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</si>
  <si>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</si>
  <si>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</si>
  <si>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</si>
  <si>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</si>
  <si>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</si>
  <si>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</si>
  <si>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</si>
  <si>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</si>
  <si>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</si>
  <si>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</si>
  <si>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</si>
  <si>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</si>
  <si>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</si>
  <si>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</si>
  <si>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</si>
  <si>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</si>
  <si>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</si>
  <si>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</si>
  <si>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</si>
  <si>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</si>
  <si>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</si>
  <si>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</si>
  <si>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</si>
  <si>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</si>
  <si>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</si>
  <si>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</si>
  <si>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</si>
  <si>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</si>
  <si>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</si>
  <si>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</si>
  <si>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</si>
  <si>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</si>
  <si>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</si>
  <si>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</si>
  <si>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</si>
  <si>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</si>
  <si>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</si>
  <si>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</si>
  <si>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</si>
  <si>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</si>
  <si>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</si>
  <si>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</si>
  <si>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</si>
  <si>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</si>
  <si>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</si>
  <si>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</si>
  <si>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</si>
  <si>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</si>
  <si>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</si>
  <si>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</si>
  <si>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</si>
  <si>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</si>
  <si>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</si>
  <si>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</si>
  <si>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</si>
  <si>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</si>
  <si>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</si>
  <si>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</si>
  <si>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</si>
  <si>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</si>
  <si>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</si>
  <si>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</si>
  <si>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</si>
  <si>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</si>
  <si>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</si>
  <si>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</si>
  <si>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</si>
  <si>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</si>
  <si>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</si>
  <si>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</si>
  <si>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</si>
  <si>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</si>
  <si>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</si>
  <si>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</si>
  <si>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</si>
  <si>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</si>
  <si>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</si>
  <si>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</si>
  <si>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</si>
  <si>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</si>
  <si>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</si>
  <si>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</si>
  <si>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</si>
  <si>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</si>
  <si>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</si>
  <si>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</si>
  <si>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</si>
  <si>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</si>
  <si>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</si>
  <si>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</si>
  <si>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</si>
  <si>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</si>
  <si>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</si>
  <si>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</si>
  <si>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</si>
  <si>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</si>
  <si>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</si>
  <si>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</si>
  <si>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</si>
  <si>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</si>
  <si>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</si>
  <si>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</si>
  <si>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</si>
  <si>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</si>
  <si>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</si>
  <si>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</si>
  <si>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</si>
  <si>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</si>
  <si>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</si>
  <si>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</si>
  <si>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</si>
  <si>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</si>
  <si>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</si>
  <si>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</si>
  <si>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</si>
  <si>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</si>
  <si>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</si>
  <si>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</si>
  <si>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</si>
  <si>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</si>
  <si>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</si>
  <si>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</si>
  <si>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</si>
  <si>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</si>
  <si>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</si>
  <si>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</si>
  <si>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</si>
  <si>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</si>
  <si>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</si>
  <si>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</si>
  <si>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</si>
  <si>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</si>
  <si>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</si>
  <si>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</si>
  <si>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</si>
  <si>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</si>
  <si>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</si>
  <si>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</si>
  <si>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</si>
  <si>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</si>
  <si>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</si>
  <si>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</si>
  <si>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</si>
  <si>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</si>
  <si>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</si>
  <si>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</si>
  <si>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</si>
  <si>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</si>
  <si>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</si>
  <si>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</si>
  <si>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</si>
  <si>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</si>
  <si>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</si>
  <si>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</si>
  <si>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</si>
  <si>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</si>
  <si>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</si>
  <si>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</si>
  <si>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</si>
  <si>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</si>
  <si>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</si>
  <si>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</si>
  <si>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</si>
  <si>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</si>
  <si>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</si>
  <si>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</si>
  <si>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</si>
  <si>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</si>
  <si>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</si>
  <si>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</si>
  <si>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</si>
  <si>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</si>
  <si>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</si>
  <si>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</si>
  <si>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</si>
  <si>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</si>
  <si>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</si>
  <si>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</si>
  <si>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</si>
  <si>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</si>
  <si>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</si>
  <si>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</si>
  <si>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</si>
  <si>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</si>
  <si>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</si>
  <si>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</si>
  <si>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</si>
  <si>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</si>
  <si>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</si>
  <si>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</si>
  <si>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</si>
  <si>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</si>
  <si>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</si>
  <si>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</si>
  <si>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</si>
  <si>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</si>
  <si>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</si>
  <si>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</si>
  <si>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</si>
  <si>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</si>
  <si>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</si>
  <si>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</si>
  <si>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</si>
  <si>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</si>
  <si>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</si>
  <si>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</si>
  <si>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</si>
  <si>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</si>
  <si>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</si>
  <si>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</si>
  <si>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</si>
  <si>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</si>
  <si>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</si>
  <si>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</si>
  <si>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</si>
  <si>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</si>
  <si>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</si>
  <si>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</si>
  <si>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</si>
  <si>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</si>
  <si>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</si>
  <si>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</si>
  <si>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</si>
  <si>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</si>
  <si>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</si>
  <si>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</si>
  <si>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</si>
  <si>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</si>
  <si>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</si>
  <si>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</si>
  <si>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</si>
  <si>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</si>
  <si>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</si>
  <si>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</si>
  <si>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</si>
  <si>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</si>
  <si>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</si>
  <si>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</si>
  <si>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</si>
  <si>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</si>
  <si>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</si>
  <si>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</si>
  <si>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</si>
  <si>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</si>
  <si>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</si>
  <si>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</si>
  <si>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</si>
  <si>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</si>
  <si>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</si>
  <si>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</si>
  <si>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</si>
  <si>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</si>
  <si>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</si>
  <si>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</si>
  <si>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</si>
  <si>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</si>
  <si>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</si>
  <si>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</si>
  <si>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</si>
  <si>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</si>
  <si>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</si>
  <si>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</si>
  <si>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</si>
  <si>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</si>
  <si>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</si>
  <si>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</si>
  <si>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</si>
  <si>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</si>
  <si>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</si>
  <si>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</si>
  <si>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</si>
  <si>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</si>
  <si>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</si>
  <si>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</si>
  <si>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</si>
  <si>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</si>
  <si>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</si>
  <si>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</si>
  <si>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</si>
  <si>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</si>
  <si>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</si>
  <si>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</si>
  <si>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</si>
  <si>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</si>
  <si>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</si>
  <si>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</si>
  <si>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</si>
  <si>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</si>
  <si>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</si>
  <si>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</si>
  <si>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</si>
  <si>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</si>
  <si>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</si>
  <si>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</si>
  <si>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</si>
  <si>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</si>
  <si>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</si>
  <si>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</si>
  <si>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</si>
  <si>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</si>
  <si>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</si>
  <si>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</si>
  <si>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</si>
  <si>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</si>
  <si>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</si>
  <si>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</si>
  <si>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</si>
  <si>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</si>
  <si>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</si>
  <si>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</si>
  <si>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</si>
  <si>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</si>
  <si>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</si>
  <si>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</si>
  <si>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</si>
  <si>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</si>
  <si>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</si>
  <si>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</si>
  <si>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</si>
  <si>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</si>
  <si>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</si>
  <si>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</si>
  <si>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</si>
  <si>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</si>
  <si>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</si>
  <si>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</si>
  <si>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</si>
  <si>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</si>
  <si>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</si>
  <si>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</si>
  <si>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</si>
  <si>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</si>
  <si>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</si>
  <si>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</si>
  <si>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</si>
  <si>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</si>
  <si>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</si>
  <si>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</si>
  <si>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</si>
  <si>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</si>
  <si>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</si>
  <si>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</si>
  <si>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</si>
  <si>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</si>
  <si>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</si>
  <si>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</si>
  <si>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</si>
  <si>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</si>
  <si>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</si>
  <si>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</si>
  <si>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</si>
  <si>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</si>
  <si>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</si>
  <si>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</si>
  <si>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</si>
  <si>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</si>
  <si>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</si>
  <si>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</si>
  <si>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</si>
  <si>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</si>
  <si>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</si>
  <si>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</si>
  <si>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</si>
  <si>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</si>
  <si>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</si>
  <si>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</si>
  <si>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</si>
  <si>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</si>
  <si>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</si>
  <si>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</si>
  <si>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</si>
  <si>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</si>
  <si>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</si>
  <si>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</si>
  <si>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</si>
  <si>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</si>
  <si>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</si>
  <si>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</si>
  <si>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</si>
  <si>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</si>
  <si>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</si>
  <si>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</si>
  <si>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</si>
  <si>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</si>
  <si>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</si>
  <si>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</si>
  <si>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</si>
  <si>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</si>
  <si>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</si>
  <si>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</si>
  <si>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</si>
  <si>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</si>
  <si>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</si>
  <si>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</si>
  <si>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</si>
  <si>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</si>
  <si>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</si>
  <si>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</si>
  <si>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</si>
  <si>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</si>
  <si>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</si>
  <si>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</si>
  <si>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</si>
  <si>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</si>
  <si>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</si>
  <si>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</si>
  <si>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</si>
  <si>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</si>
  <si>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</si>
  <si>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</si>
  <si>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</si>
  <si>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</si>
  <si>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</si>
  <si>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</si>
  <si>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</si>
  <si>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</si>
  <si>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</si>
  <si>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</si>
  <si>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</si>
  <si>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</si>
  <si>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</si>
  <si>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</si>
  <si>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</si>
  <si>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</si>
  <si>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</si>
  <si>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</si>
  <si>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</si>
  <si>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</si>
  <si>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</si>
  <si>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</si>
  <si>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</si>
  <si>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</si>
  <si>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</si>
  <si>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</si>
  <si>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</si>
  <si>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</si>
  <si>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</si>
  <si>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</si>
  <si>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</si>
  <si>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</si>
  <si>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</si>
  <si>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</si>
  <si>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</si>
  <si>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</si>
  <si>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</si>
  <si>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</si>
  <si>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</si>
  <si>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</si>
  <si>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</si>
  <si>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</si>
  <si>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</si>
  <si>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</si>
  <si>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</si>
  <si>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</si>
  <si>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</si>
  <si>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</si>
  <si>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</si>
  <si>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</si>
  <si>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</si>
  <si>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</si>
  <si>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</si>
  <si>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</si>
  <si>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</si>
  <si>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</si>
  <si>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</si>
  <si>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</si>
  <si>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</si>
  <si>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</si>
  <si>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</si>
  <si>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</si>
  <si>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</si>
  <si>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</si>
  <si>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</si>
  <si>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</si>
  <si>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</si>
  <si>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</si>
  <si>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</si>
  <si>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</si>
  <si>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</si>
  <si>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</si>
  <si>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</si>
  <si>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</si>
  <si>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</si>
  <si>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</si>
  <si>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</si>
  <si>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</si>
  <si>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</si>
  <si>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</si>
  <si>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</si>
  <si>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</si>
  <si>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</si>
  <si>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</si>
  <si>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</si>
  <si>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</si>
  <si>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</si>
  <si>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</si>
  <si>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</si>
  <si>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</si>
  <si>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</si>
  <si>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</si>
  <si>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</si>
  <si>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</si>
  <si>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</si>
  <si>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</si>
  <si>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</si>
  <si>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</si>
  <si>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</si>
  <si>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</si>
  <si>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</si>
  <si>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</si>
  <si>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</si>
  <si>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</si>
  <si>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</si>
  <si>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</si>
  <si>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</si>
  <si>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</si>
  <si>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</si>
  <si>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</si>
  <si>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</si>
  <si>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</si>
  <si>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</si>
  <si>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</si>
  <si>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</si>
  <si>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</si>
  <si>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</si>
  <si>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</si>
  <si>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</si>
  <si>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</si>
  <si>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</si>
  <si>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</si>
  <si>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</si>
  <si>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</si>
  <si>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</si>
  <si>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</si>
  <si>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</si>
  <si>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</si>
  <si>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</si>
  <si>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</si>
  <si>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</si>
  <si>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</si>
  <si>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</si>
  <si>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</si>
  <si>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</si>
  <si>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</si>
  <si>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</si>
  <si>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</si>
  <si>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</si>
  <si>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</si>
  <si>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</si>
  <si>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</si>
  <si>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</si>
  <si>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</si>
  <si>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</si>
  <si>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</si>
  <si>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</si>
  <si>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</si>
  <si>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</si>
  <si>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</si>
  <si>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</si>
  <si>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</si>
  <si>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</si>
  <si>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</si>
  <si>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</si>
  <si>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</si>
  <si>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</si>
  <si>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</si>
  <si>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</si>
  <si>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</si>
  <si>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</si>
  <si>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</si>
  <si>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</si>
  <si>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</si>
  <si>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</si>
  <si>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</si>
  <si>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</si>
  <si>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</si>
  <si>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</si>
  <si>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</si>
  <si>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</si>
  <si>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</si>
  <si>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</si>
  <si>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</si>
  <si>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</si>
  <si>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</si>
  <si>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</si>
  <si>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</si>
  <si>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</si>
  <si>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</si>
  <si>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</si>
  <si>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</si>
  <si>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</si>
  <si>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</si>
  <si>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</si>
  <si>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</si>
  <si>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</si>
  <si>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</si>
  <si>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</si>
  <si>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</si>
  <si>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</si>
  <si>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</si>
  <si>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</si>
  <si>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</si>
  <si>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</si>
  <si>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</si>
  <si>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</si>
  <si>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</si>
  <si>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</si>
  <si>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</si>
  <si>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</si>
  <si>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</si>
  <si>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</si>
  <si>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</si>
  <si>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</si>
  <si>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</si>
  <si>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</si>
  <si>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</si>
  <si>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</si>
  <si>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</si>
  <si>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</si>
  <si>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</si>
  <si>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</si>
  <si>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</si>
  <si>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</si>
  <si>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</si>
  <si>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</si>
  <si>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</si>
  <si>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</si>
  <si>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</si>
  <si>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</si>
  <si>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</si>
  <si>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</si>
  <si>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</si>
  <si>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</si>
  <si>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</si>
  <si>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</si>
  <si>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</si>
  <si>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</si>
  <si>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</si>
  <si>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</si>
  <si>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</si>
  <si>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</si>
  <si>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</si>
  <si>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</si>
  <si>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</si>
  <si>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</si>
  <si>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</si>
  <si>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</si>
  <si>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</si>
  <si>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</si>
  <si>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</si>
  <si>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</si>
  <si>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</si>
  <si>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</si>
  <si>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</si>
  <si>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</si>
  <si>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</si>
  <si>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</si>
  <si>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</si>
  <si>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</si>
  <si>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</si>
  <si>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</si>
  <si>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</si>
  <si>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</si>
  <si>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</si>
  <si>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</si>
  <si>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</si>
  <si>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</si>
  <si>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</si>
  <si>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</si>
  <si>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</si>
  <si>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</si>
  <si>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</si>
  <si>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</si>
  <si>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</si>
  <si>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</si>
  <si>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</si>
  <si>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</si>
  <si>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</si>
  <si>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</si>
  <si>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</si>
  <si>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</si>
  <si>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</si>
  <si>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</si>
  <si>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</si>
  <si>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</si>
  <si>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</si>
  <si>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</si>
  <si>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</si>
  <si>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</si>
  <si>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</si>
  <si>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</si>
  <si>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</si>
  <si>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</si>
  <si>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</si>
  <si>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</si>
  <si>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</si>
  <si>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</si>
  <si>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</si>
  <si>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</si>
  <si>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</si>
  <si>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</si>
  <si>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</si>
  <si>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</si>
  <si>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</si>
  <si>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</si>
  <si>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</si>
  <si>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</si>
  <si>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</si>
  <si>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</si>
  <si>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</si>
  <si>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</si>
  <si>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</si>
  <si>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</si>
  <si>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</si>
  <si>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</si>
  <si>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</si>
  <si>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</si>
  <si>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</si>
  <si>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</si>
  <si>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</si>
  <si>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</si>
  <si>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</si>
  <si>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</si>
  <si>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</si>
  <si>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</si>
  <si>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</si>
  <si>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</si>
  <si>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</si>
  <si>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</si>
  <si>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</si>
  <si>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</si>
  <si>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</si>
  <si>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</si>
  <si>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</si>
  <si>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</si>
  <si>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</si>
  <si>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</si>
  <si>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</si>
  <si>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</si>
  <si>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</si>
  <si>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</si>
  <si>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</si>
  <si>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</si>
  <si>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</si>
  <si>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</si>
  <si>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</si>
  <si>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</si>
  <si>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</si>
  <si>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</si>
  <si>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</si>
  <si>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</si>
  <si>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</si>
  <si>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</si>
  <si>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</si>
  <si>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</si>
  <si>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</si>
  <si>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</si>
  <si>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</si>
  <si>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</si>
  <si>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</si>
  <si>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</si>
  <si>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</si>
  <si>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</si>
  <si>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</si>
  <si>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</si>
  <si>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</si>
  <si>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</si>
  <si>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</si>
  <si>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</si>
  <si>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</si>
  <si>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</si>
  <si>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</si>
  <si>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</si>
  <si>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</si>
  <si>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</si>
  <si>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</si>
  <si>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</si>
  <si>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</si>
  <si>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</si>
  <si>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</si>
  <si>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</si>
  <si>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</si>
  <si>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</si>
  <si>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</si>
  <si>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</si>
  <si>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</si>
  <si>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</si>
  <si>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</si>
  <si>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</si>
  <si>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</si>
  <si>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</si>
  <si>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</si>
  <si>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</si>
  <si>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</si>
  <si>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</si>
  <si>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</si>
  <si>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</si>
  <si>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</si>
  <si>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</si>
  <si>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</si>
  <si>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</si>
  <si>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</si>
  <si>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</si>
  <si>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</si>
  <si>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</si>
  <si>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</si>
  <si>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</si>
  <si>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</si>
  <si>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</si>
  <si>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</si>
  <si>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</si>
  <si>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</si>
  <si>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</si>
  <si>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</si>
  <si>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</si>
  <si>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</si>
  <si>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</si>
  <si>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</si>
  <si>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</si>
  <si>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</si>
  <si>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</si>
  <si>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</si>
  <si>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</si>
  <si>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</si>
  <si>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</si>
  <si>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</si>
  <si>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</si>
  <si>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</si>
  <si>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</si>
  <si>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</si>
  <si>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</si>
  <si>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</si>
  <si>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</si>
  <si>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</si>
  <si>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</si>
  <si>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</si>
  <si>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</si>
  <si>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</si>
  <si>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</si>
  <si>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</si>
  <si>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</si>
  <si>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</si>
  <si>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</si>
  <si>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</si>
  <si>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</si>
  <si>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</si>
  <si>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</si>
  <si>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</si>
  <si>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</si>
  <si>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</si>
  <si>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</si>
  <si>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</si>
  <si>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</si>
  <si>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</si>
  <si>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</si>
  <si>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</si>
  <si>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</si>
  <si>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</si>
  <si>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</si>
  <si>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</si>
  <si>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</si>
  <si>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</si>
  <si>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</si>
  <si>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</si>
  <si>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</si>
  <si>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</si>
  <si>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</si>
  <si>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</si>
  <si>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</si>
  <si>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</si>
  <si>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</si>
  <si>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</si>
  <si>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</si>
  <si>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</si>
  <si>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</si>
  <si>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</si>
  <si>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</si>
  <si>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</si>
  <si>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</si>
  <si>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</si>
  <si>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</si>
  <si>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</si>
  <si>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</si>
  <si>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</si>
  <si>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</si>
  <si>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</si>
  <si>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</si>
  <si>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</si>
  <si>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</si>
  <si>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</si>
  <si>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</si>
  <si>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</si>
  <si>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</si>
  <si>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</si>
  <si>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</si>
  <si>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</si>
  <si>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</si>
  <si>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</si>
  <si>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</si>
  <si>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</si>
  <si>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</si>
  <si>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</si>
  <si>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</si>
  <si>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</si>
  <si>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</si>
  <si>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</si>
  <si>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</si>
  <si>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</si>
  <si>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</si>
  <si>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</si>
  <si>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</si>
  <si>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</si>
  <si>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</si>
  <si>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</si>
  <si>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</si>
  <si>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</si>
  <si>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</si>
  <si>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</si>
  <si>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</si>
  <si>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</si>
  <si>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</si>
  <si>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</si>
  <si>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</si>
  <si>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</si>
  <si>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</si>
  <si>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</si>
  <si>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</si>
  <si>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</si>
  <si>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</si>
  <si>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</si>
  <si>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</si>
  <si>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</si>
  <si>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</si>
  <si>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</si>
  <si>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</si>
  <si>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</si>
  <si>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</si>
  <si>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</si>
  <si>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</si>
  <si>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</si>
  <si>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</si>
  <si>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</si>
  <si>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</si>
  <si>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</si>
  <si>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</si>
  <si>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</si>
  <si>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</si>
  <si>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</si>
  <si>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</si>
  <si>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</si>
  <si>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</si>
  <si>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</si>
  <si>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</si>
  <si>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</si>
  <si>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</si>
  <si>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</si>
  <si>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</si>
  <si>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</si>
  <si>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</si>
  <si>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</si>
  <si>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</si>
  <si>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</si>
  <si>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</si>
  <si>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</si>
  <si>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</si>
  <si>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</si>
  <si>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</si>
  <si>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</si>
  <si>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</si>
  <si>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</si>
  <si>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</si>
  <si>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</si>
  <si>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</si>
  <si>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</si>
  <si>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</si>
  <si>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</si>
  <si>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</si>
  <si>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</si>
  <si>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</si>
  <si>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</si>
  <si>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</si>
  <si>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</si>
  <si>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</si>
  <si>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</si>
  <si>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</si>
  <si>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</si>
  <si>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</si>
  <si>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</si>
  <si>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</si>
  <si>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</si>
  <si>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</si>
  <si>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</si>
  <si>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</si>
  <si>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</si>
  <si>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</si>
  <si>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</si>
  <si>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</si>
  <si>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</si>
  <si>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</si>
  <si>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</si>
  <si>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</si>
  <si>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</si>
  <si>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</si>
  <si>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</si>
  <si>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</si>
  <si>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</si>
  <si>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</si>
  <si>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</si>
  <si>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</si>
  <si>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</si>
  <si>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</si>
  <si>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</si>
  <si>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</si>
  <si>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</si>
  <si>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</si>
  <si>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</si>
  <si>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</si>
  <si>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</si>
  <si>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</si>
  <si>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</si>
  <si>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</si>
  <si>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</si>
  <si>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</si>
  <si>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</si>
  <si>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</si>
  <si>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</si>
  <si>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</si>
  <si>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</si>
  <si>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</si>
  <si>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</si>
  <si>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</si>
  <si>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</si>
  <si>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</si>
  <si>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</si>
  <si>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</si>
  <si>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</si>
  <si>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</si>
  <si>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</si>
  <si>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</si>
  <si>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</si>
  <si>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</si>
  <si>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</si>
  <si>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</si>
  <si>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</si>
  <si>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</si>
  <si>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</si>
  <si>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</si>
  <si>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</si>
  <si>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</si>
  <si>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</si>
  <si>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</si>
  <si>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</si>
  <si>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</si>
  <si>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</si>
  <si>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</si>
  <si>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</si>
  <si>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</si>
  <si>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</si>
  <si>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</si>
  <si>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</si>
  <si>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</si>
  <si>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</si>
  <si>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</si>
  <si>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</si>
  <si>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</si>
  <si>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</si>
  <si>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</si>
  <si>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</si>
  <si>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</si>
  <si>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</si>
  <si>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</si>
  <si>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</si>
  <si>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</si>
  <si>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</si>
  <si>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</si>
  <si>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</si>
  <si>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</si>
  <si>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</si>
  <si>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</si>
  <si>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</si>
  <si>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</si>
  <si>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</si>
  <si>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</si>
  <si>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</si>
  <si>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</si>
  <si>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</si>
  <si>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</si>
  <si>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</si>
  <si>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</si>
  <si>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</si>
  <si>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</si>
  <si>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</si>
  <si>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</si>
  <si>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</si>
  <si>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</si>
  <si>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</si>
  <si>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</si>
  <si>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</si>
  <si>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</si>
  <si>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</si>
  <si>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</si>
  <si>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</si>
  <si>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</si>
  <si>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</si>
  <si>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</si>
  <si>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</si>
  <si>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</si>
  <si>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</si>
  <si>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</si>
  <si>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</si>
  <si>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</si>
  <si>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</si>
  <si>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</si>
  <si>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</si>
  <si>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</si>
  <si>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</si>
  <si>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</si>
  <si>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</si>
  <si>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</si>
  <si>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</si>
  <si>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</si>
  <si>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</si>
  <si>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</si>
  <si>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</si>
  <si>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</si>
  <si>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</si>
  <si>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</si>
  <si>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</si>
  <si>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</si>
  <si>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</si>
  <si>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</si>
  <si>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</si>
  <si>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</si>
  <si>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</si>
  <si>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</si>
  <si>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</si>
  <si>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</si>
  <si>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</si>
  <si>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</si>
  <si>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</si>
  <si>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</si>
  <si>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</si>
  <si>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</si>
  <si>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</si>
  <si>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</si>
  <si>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</si>
  <si>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</si>
  <si>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</si>
  <si>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</si>
  <si>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</si>
  <si>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</si>
  <si>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</si>
  <si>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</si>
  <si>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</si>
  <si>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</si>
  <si>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</si>
  <si>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</si>
  <si>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</si>
  <si>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</si>
  <si>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</si>
  <si>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</si>
  <si>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</si>
  <si>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</si>
  <si>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</si>
  <si>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</si>
  <si>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</si>
  <si>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</si>
  <si>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</si>
  <si>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</si>
  <si>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</si>
  <si>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</si>
  <si>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</si>
  <si>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</si>
  <si>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</si>
  <si>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</si>
  <si>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</si>
  <si>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</si>
  <si>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</si>
  <si>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</si>
  <si>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</si>
  <si>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</si>
  <si>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</si>
  <si>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</si>
  <si>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</si>
  <si>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</si>
  <si>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</si>
  <si>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</si>
  <si>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</si>
  <si>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</si>
  <si>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</si>
  <si>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</si>
  <si>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</si>
  <si>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</si>
  <si>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</si>
  <si>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</si>
  <si>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</si>
  <si>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</si>
  <si>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</si>
  <si>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</si>
  <si>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</si>
  <si>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</si>
  <si>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</si>
  <si>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</si>
  <si>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</si>
  <si>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</si>
  <si>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</si>
  <si>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</si>
  <si>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</si>
  <si>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</si>
  <si>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</si>
  <si>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</si>
  <si>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</si>
  <si>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</si>
  <si>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</si>
  <si>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</si>
  <si>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</si>
  <si>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</si>
  <si>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</si>
  <si>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</si>
  <si>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</si>
  <si>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</si>
  <si>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</si>
  <si>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</si>
  <si>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</si>
  <si>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</si>
  <si>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</si>
  <si>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</si>
  <si>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</si>
  <si>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</si>
  <si>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</si>
  <si>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</si>
  <si>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</si>
  <si>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</si>
  <si>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</si>
  <si>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</si>
  <si>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</si>
  <si>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</si>
  <si>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</si>
  <si>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</si>
  <si>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</si>
  <si>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</si>
  <si>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</si>
  <si>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</si>
  <si>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</si>
  <si>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</si>
  <si>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</si>
  <si>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</si>
  <si>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</si>
  <si>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</si>
  <si>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</si>
  <si>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</si>
  <si>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</si>
  <si>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</si>
  <si>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</si>
  <si>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</si>
  <si>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</si>
  <si>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</si>
  <si>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</si>
  <si>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</si>
  <si>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</si>
  <si>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</si>
  <si>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</si>
  <si>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</si>
  <si>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</si>
  <si>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</si>
  <si>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</si>
  <si>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</si>
  <si>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</si>
  <si>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</si>
  <si>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</si>
  <si>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</si>
  <si>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</si>
  <si>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</si>
  <si>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</si>
  <si>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</si>
  <si>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</si>
  <si>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</si>
  <si>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</si>
  <si>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</si>
  <si>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</si>
  <si>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</si>
  <si>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</si>
  <si>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</si>
  <si>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</si>
  <si>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</si>
  <si>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</si>
  <si>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</si>
  <si>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</si>
  <si>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</si>
  <si>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</si>
  <si>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</si>
  <si>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</si>
  <si>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</si>
  <si>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</si>
  <si>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</si>
  <si>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</si>
  <si>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</si>
  <si>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</si>
  <si>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</si>
  <si>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</si>
  <si>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</si>
  <si>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</si>
  <si>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</si>
  <si>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</si>
  <si>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</si>
  <si>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</si>
  <si>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</si>
  <si>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</si>
  <si>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</si>
  <si>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</si>
  <si>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</si>
  <si>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</si>
  <si>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</si>
  <si>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</si>
  <si>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</si>
  <si>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</si>
  <si>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</si>
  <si>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</si>
  <si>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</si>
  <si>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</si>
  <si>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</si>
  <si>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</si>
  <si>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</si>
  <si>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</si>
  <si>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</si>
  <si>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</si>
  <si>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</si>
  <si>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</si>
  <si>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</si>
  <si>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</si>
  <si>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</si>
  <si>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</si>
  <si>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</si>
  <si>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</si>
  <si>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</si>
  <si>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</si>
  <si>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</si>
  <si>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</si>
  <si>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</si>
  <si>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</si>
  <si>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</si>
  <si>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</si>
  <si>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</si>
  <si>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</si>
  <si>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</si>
  <si>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</si>
  <si>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</si>
  <si>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</si>
  <si>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</si>
  <si>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</si>
  <si>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</si>
  <si>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</si>
  <si>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</si>
  <si>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</si>
  <si>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</si>
  <si>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</si>
  <si>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</si>
  <si>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</si>
  <si>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</si>
  <si>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</si>
  <si>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</si>
  <si>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</si>
  <si>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</si>
  <si>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</si>
  <si>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</si>
  <si>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</si>
  <si>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</si>
  <si>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</si>
  <si>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</si>
  <si>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</si>
  <si>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</si>
  <si>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</si>
  <si>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</si>
  <si>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</si>
  <si>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</si>
  <si>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</si>
  <si>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</si>
  <si>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</si>
  <si>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</si>
  <si>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</si>
  <si>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</si>
  <si>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</si>
  <si>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</si>
  <si>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</si>
  <si>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</si>
  <si>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</si>
  <si>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</si>
  <si>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</si>
  <si>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</si>
  <si>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</si>
  <si>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</si>
  <si>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</si>
  <si>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</si>
  <si>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</si>
  <si>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</si>
  <si>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</si>
  <si>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</si>
  <si>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</si>
  <si>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</si>
  <si>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Bold Manteca LP</t>
  </si>
  <si>
    <t>1241 North Main</t>
  </si>
  <si>
    <t>City of Manteca</t>
  </si>
  <si>
    <t>Toni Lundgren</t>
  </si>
  <si>
    <t>1001 W. Center St</t>
  </si>
  <si>
    <t xml:space="preserve">Manteca </t>
  </si>
  <si>
    <t>209-456-8000</t>
  </si>
  <si>
    <t>tlundgren@manteca.gov</t>
  </si>
  <si>
    <t xml:space="preserve">1241 North Main St. </t>
  </si>
  <si>
    <t>Manteca</t>
  </si>
  <si>
    <t>216-340-60</t>
  </si>
  <si>
    <t>40%/60%</t>
  </si>
  <si>
    <t>4915 Gambier St.</t>
  </si>
  <si>
    <t>CA</t>
  </si>
  <si>
    <t>Michael Miller</t>
  </si>
  <si>
    <t>650-464-1319</t>
  </si>
  <si>
    <t>mike@boldcommunities.org</t>
  </si>
  <si>
    <t>Bold Manteca LLC</t>
  </si>
  <si>
    <t>Managing GP</t>
  </si>
  <si>
    <t>Bold Communities</t>
  </si>
  <si>
    <t>Sole Sponsor / BIPOC / Developer / General Partner</t>
  </si>
  <si>
    <t>4915 Gambier St</t>
  </si>
  <si>
    <t xml:space="preserve">Michael Miller </t>
  </si>
  <si>
    <t>Los Angeles, CA 90032</t>
  </si>
  <si>
    <t>BSB Design</t>
  </si>
  <si>
    <t>970 W. 190th St Suite 250</t>
  </si>
  <si>
    <t>Torrance, CA, 90502</t>
  </si>
  <si>
    <t>Jim Williams</t>
  </si>
  <si>
    <t>310-217-8885</t>
  </si>
  <si>
    <t>jwilliams@bsbdesign.com</t>
  </si>
  <si>
    <t>TBD</t>
  </si>
  <si>
    <t>Odu Law</t>
  </si>
  <si>
    <t>31805 Temecula Parkway #720</t>
  </si>
  <si>
    <t>Temecula, CA 92592</t>
  </si>
  <si>
    <t>Nkechi Odu</t>
  </si>
  <si>
    <t>nkechi@odulaw.com</t>
  </si>
  <si>
    <t>951-215-6212</t>
  </si>
  <si>
    <t>Dauby O'Connor &amp; Zaleski, LLC</t>
  </si>
  <si>
    <t>501 Congressional Blvd</t>
  </si>
  <si>
    <t>Carmel, IN 46032</t>
  </si>
  <si>
    <t>Kate Gwyn</t>
  </si>
  <si>
    <t>kgwyn@dozllc.com</t>
  </si>
  <si>
    <t>317-819-6242</t>
  </si>
  <si>
    <t xml:space="preserve">Partner Energy </t>
  </si>
  <si>
    <t>2154 Torrance Blvd</t>
  </si>
  <si>
    <t>Torrance, CA, 90501</t>
  </si>
  <si>
    <t>Kyle Brumfitt</t>
  </si>
  <si>
    <t>310-622-8854</t>
  </si>
  <si>
    <t>310-862-2399</t>
  </si>
  <si>
    <t>KBrumfitt@ptrenergy.com</t>
  </si>
  <si>
    <t>James Wolf</t>
  </si>
  <si>
    <t>317-819-6233</t>
  </si>
  <si>
    <t>jwolf@dozllc.com</t>
  </si>
  <si>
    <t xml:space="preserve">R4 Capital </t>
  </si>
  <si>
    <t>895 Dove St. Suite 475</t>
  </si>
  <si>
    <t>Newport Beach, CA 92660</t>
  </si>
  <si>
    <t>Cory Bannister</t>
  </si>
  <si>
    <t>cbannister@r4cap.com</t>
  </si>
  <si>
    <t>949-438-1056</t>
  </si>
  <si>
    <t>California Housing Partnership</t>
  </si>
  <si>
    <t>49 Stevenson St. Suite 500</t>
  </si>
  <si>
    <t>San Fransisco, CA 94105</t>
  </si>
  <si>
    <t>Tony Kouot</t>
  </si>
  <si>
    <t>tkouot@chpc.net</t>
  </si>
  <si>
    <t>213-421-8753</t>
  </si>
  <si>
    <t>Novogradac</t>
  </si>
  <si>
    <t>6700  Antioch Road, Suite 450</t>
  </si>
  <si>
    <t>Merriam, KS 66204</t>
  </si>
  <si>
    <t xml:space="preserve">Sara Nachbar </t>
  </si>
  <si>
    <t>sara.nachbar@novoco.com</t>
  </si>
  <si>
    <t>913-312-4616</t>
  </si>
  <si>
    <t xml:space="preserve">6700 Antioch Road </t>
  </si>
  <si>
    <t>Sara Nachbar</t>
  </si>
  <si>
    <t>California Municipal Finance Authority</t>
  </si>
  <si>
    <t>2111 Palomar Airport Rd Suit 320</t>
  </si>
  <si>
    <t>Carlsbad, CA 92011</t>
  </si>
  <si>
    <t>Anthony Stubbs</t>
  </si>
  <si>
    <t>astubbs@cmfa-ca.com</t>
  </si>
  <si>
    <t>760-930-1333</t>
  </si>
  <si>
    <t>760-683-3390</t>
  </si>
  <si>
    <t>AWI Management Corporation</t>
  </si>
  <si>
    <t>120 Center St</t>
  </si>
  <si>
    <t>Aubrurn, CA 95603</t>
  </si>
  <si>
    <t>Linda Frazier</t>
  </si>
  <si>
    <t>530-745-6255</t>
  </si>
  <si>
    <t>530-745-6171</t>
  </si>
  <si>
    <t>lfrazier@awimc.com</t>
  </si>
  <si>
    <t>1241 N Main LLC</t>
  </si>
  <si>
    <t>Joel Hammer</t>
  </si>
  <si>
    <t>4429 Morena Blvd., Suite A San Diego CA 92117</t>
  </si>
  <si>
    <t>Inner City Infill Site</t>
  </si>
  <si>
    <t>CMU Commercial Mixed Use</t>
  </si>
  <si>
    <t>CMU Commercial Mixed Use (159-units)</t>
  </si>
  <si>
    <t>CMU Commercial Mixed Use (100-units)</t>
  </si>
  <si>
    <t>35' MAX</t>
  </si>
  <si>
    <t>HCD SuperNOFA (IIG, MHP, Serna)</t>
  </si>
  <si>
    <t xml:space="preserve">Citi - Tax Exempt Bonds </t>
  </si>
  <si>
    <t xml:space="preserve">Citi - Taxable Tail </t>
  </si>
  <si>
    <t xml:space="preserve">Deferred Developer Fees </t>
  </si>
  <si>
    <t xml:space="preserve">Other Deferred Costs </t>
  </si>
  <si>
    <t>HCD - Infill Infrastructure Grant Program</t>
  </si>
  <si>
    <t xml:space="preserve">R4 -Tax Credit Equity  </t>
  </si>
  <si>
    <t>Variable</t>
  </si>
  <si>
    <t>325 E Hillcrest Dr. Suite 160</t>
  </si>
  <si>
    <t xml:space="preserve">Thousand Oaks </t>
  </si>
  <si>
    <t xml:space="preserve">Mike Hemmens </t>
  </si>
  <si>
    <t>805-358-5673</t>
  </si>
  <si>
    <t xml:space="preserve">Tax Exempt Bond </t>
  </si>
  <si>
    <t>Taxable Bond</t>
  </si>
  <si>
    <t>1-Month SOFR</t>
  </si>
  <si>
    <t xml:space="preserve">2020 W. El Camino Ave Suite 670 </t>
  </si>
  <si>
    <t xml:space="preserve">Sacramento </t>
  </si>
  <si>
    <t xml:space="preserve">Melissa Harty-Swaleh </t>
  </si>
  <si>
    <t xml:space="preserve">4915 Gambier St </t>
  </si>
  <si>
    <t xml:space="preserve">Los Angeles </t>
  </si>
  <si>
    <t>Newport Beach</t>
  </si>
  <si>
    <t>916-263-2771</t>
  </si>
  <si>
    <t>Deferred Fees</t>
  </si>
  <si>
    <t xml:space="preserve">Deferred Costs </t>
  </si>
  <si>
    <t>Equity</t>
  </si>
  <si>
    <t>HCD-Infill Infrastructure Grant Program</t>
  </si>
  <si>
    <t xml:space="preserve">HCD-Joe Serna Jr. FWHG </t>
  </si>
  <si>
    <t xml:space="preserve">HCD-Multifamily Housing Program </t>
  </si>
  <si>
    <t>2020 W. El Camino Ave, Suite 670</t>
  </si>
  <si>
    <t>Residual receipts loan</t>
  </si>
  <si>
    <t>Deferred developer fee</t>
  </si>
  <si>
    <t xml:space="preserve">Air Conditioning </t>
  </si>
  <si>
    <t>Housing Authority of the County of San Joaquin</t>
  </si>
  <si>
    <t>Misc. Admin</t>
  </si>
  <si>
    <t>Special Assesments</t>
  </si>
  <si>
    <t>HCD: Joe Serna Jr. FWHG &amp; IIG Program</t>
  </si>
  <si>
    <t>SB35 Approval</t>
  </si>
  <si>
    <t>Other: Prevailing Wage Monitor</t>
  </si>
  <si>
    <t xml:space="preserve">Other: Legal Closing </t>
  </si>
  <si>
    <t>Other: Special Inspection/Testing/Third Party Reports</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</si>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</sst>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5e4f3b09568be22/Documents/Bold%20Capital/Affordable%20housing/Projects/Manteca/Proforma/CHPC/2024_application_4_percent%20(TK%20041524)%20v2.xlsx" TargetMode="External"/><Relationship Id="rId1" Type="http://schemas.openxmlformats.org/officeDocument/2006/relationships/externalLinkPath" Target="/35e4f3b09568be22/Documents/Bold%20Capital/Affordable%20housing/Projects/Manteca/Proforma/CHPC/2024_application_4_percent%20(TK%20041524)%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 val="Sheet1"/>
    </sheetNames>
    <sheetDataSet>
      <sheetData sheetId="0"/>
      <sheetData sheetId="1"/>
      <sheetData sheetId="2"/>
      <sheetData sheetId="3"/>
      <sheetData sheetId="4">
        <row r="627">
          <cell r="C627" t="str">
            <v>HCD-Infill Infrastructure Grant Program</v>
          </cell>
          <cell r="AO627">
            <v>5469400</v>
          </cell>
        </row>
        <row r="628">
          <cell r="C628" t="str">
            <v xml:space="preserve">HCD-Joe Serna Jr. FWHG </v>
          </cell>
          <cell r="AO628">
            <v>10547446</v>
          </cell>
        </row>
        <row r="629">
          <cell r="C629" t="str">
            <v xml:space="preserve">HCD-Multifamily Housing Program </v>
          </cell>
          <cell r="AO629">
            <v>21798150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42" sqref="D4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8" t="s">
        <v>2414</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2461</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4" t="str">
        <f>IF(Application!H18="","",Application!H18)</f>
        <v>1241 North Main</v>
      </c>
      <c r="M4" s="2575"/>
      <c r="N4" s="2575"/>
      <c r="O4" s="2575"/>
      <c r="P4" s="2575"/>
      <c r="Q4" s="2575"/>
      <c r="R4" s="2575"/>
      <c r="S4" s="2575"/>
      <c r="T4" s="2575"/>
      <c r="U4" s="2575"/>
      <c r="V4" s="2575"/>
      <c r="W4" s="2575"/>
      <c r="X4" s="2575"/>
      <c r="Y4" s="2575"/>
      <c r="Z4" s="2575"/>
      <c r="AA4" s="2575"/>
      <c r="AB4" s="2575"/>
      <c r="AC4" s="2576"/>
      <c r="AD4" s="1209"/>
      <c r="AE4" s="1209"/>
      <c r="AF4" s="2221" t="s">
        <v>2462</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2463</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4" t="str">
        <f>IF(Application!H16="","",Application!H16)</f>
        <v>Bold Manteca LP</v>
      </c>
      <c r="M6" s="2575"/>
      <c r="N6" s="2575"/>
      <c r="O6" s="2575"/>
      <c r="P6" s="2575"/>
      <c r="Q6" s="2575"/>
      <c r="R6" s="2575"/>
      <c r="S6" s="2575"/>
      <c r="T6" s="2575"/>
      <c r="U6" s="2575"/>
      <c r="V6" s="2575"/>
      <c r="W6" s="2575"/>
      <c r="X6" s="2575"/>
      <c r="Y6" s="2575"/>
      <c r="Z6" s="2575"/>
      <c r="AA6" s="2575"/>
      <c r="AB6" s="2575"/>
      <c r="AC6" s="2576"/>
      <c r="AD6" s="1209"/>
      <c r="AE6" s="1209"/>
      <c r="AF6" s="2577" t="s">
        <v>2464</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2465</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2466</v>
      </c>
      <c r="AG8" s="2577"/>
      <c r="AH8" s="2577"/>
      <c r="AI8" s="2577"/>
      <c r="AJ8" s="2577"/>
      <c r="AK8" s="2577"/>
      <c r="AL8" s="2577"/>
      <c r="AM8" s="2577"/>
      <c r="AN8" s="2577"/>
      <c r="AO8" s="2577"/>
      <c r="AP8" s="2567" t="s">
        <v>2418</v>
      </c>
      <c r="AQ8" s="2567"/>
      <c r="AR8" s="2567"/>
      <c r="AS8" s="2567"/>
      <c r="AT8" s="2567"/>
      <c r="AU8" s="2567"/>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2626</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9">
        <f>Application!AO627</f>
        <v>5469400</v>
      </c>
      <c r="O10" s="2549"/>
      <c r="P10" s="2549"/>
      <c r="Q10" s="2549"/>
      <c r="R10" s="2549"/>
      <c r="S10" s="2549"/>
      <c r="T10" s="2549"/>
      <c r="U10" s="1209"/>
      <c r="V10" s="1209"/>
      <c r="W10" s="1209"/>
      <c r="X10" s="1258"/>
      <c r="Y10" s="1258"/>
      <c r="Z10" s="1258"/>
      <c r="AA10" s="1258"/>
      <c r="AB10" s="1258"/>
      <c r="AC10" s="1258"/>
      <c r="AD10" s="1258"/>
      <c r="AE10" s="1258"/>
      <c r="AF10" s="2221" t="s">
        <v>2625</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2624</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6" t="s">
        <v>1795</v>
      </c>
      <c r="C13" s="2557"/>
      <c r="D13" s="2557"/>
      <c r="E13" s="2557"/>
      <c r="F13" s="2557"/>
      <c r="G13" s="2557"/>
      <c r="H13" s="2557"/>
      <c r="I13" s="2557"/>
      <c r="J13" s="2557"/>
      <c r="K13" s="2557"/>
      <c r="L13" s="2557"/>
      <c r="M13" s="2557"/>
      <c r="N13" s="2557"/>
      <c r="O13" s="2557"/>
      <c r="P13" s="2558"/>
      <c r="Q13" s="2559" t="s">
        <v>678</v>
      </c>
      <c r="R13" s="2560"/>
      <c r="S13" s="2560"/>
      <c r="T13" s="2561"/>
      <c r="U13" s="1258"/>
      <c r="V13" s="1209"/>
      <c r="W13" s="1209"/>
      <c r="X13" s="1209"/>
      <c r="Y13" s="1209"/>
      <c r="Z13" s="1209"/>
      <c r="AA13" s="2550" t="s">
        <v>2468</v>
      </c>
      <c r="AB13" s="2550"/>
      <c r="AC13" s="2550"/>
      <c r="AD13" s="2550"/>
      <c r="AE13" s="2550"/>
      <c r="AF13" s="2550"/>
      <c r="AG13" s="2550"/>
      <c r="AH13" s="2550"/>
      <c r="AI13" s="2550"/>
      <c r="AJ13" s="2550"/>
      <c r="AK13" s="2550"/>
      <c r="AL13" s="2550"/>
      <c r="AM13" s="2550"/>
      <c r="AN13" s="2550"/>
      <c r="AO13" s="2551">
        <f>Application!W473</f>
        <v>0</v>
      </c>
      <c r="AP13" s="2552"/>
      <c r="AQ13" s="2552"/>
      <c r="AR13" s="2552"/>
      <c r="AS13" s="2552"/>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2470</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thickBot="1">
      <c r="A15" s="1209"/>
      <c r="B15" s="2562" t="s">
        <v>1796</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2471</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0" t="s">
        <v>1797</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1798</v>
      </c>
      <c r="C18" s="2543"/>
      <c r="D18" s="2543"/>
      <c r="E18" s="2543"/>
      <c r="F18" s="2543"/>
      <c r="G18" s="2543"/>
      <c r="H18" s="2543"/>
      <c r="I18" s="2544"/>
      <c r="J18" s="2545" t="s">
        <v>1699</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1799</v>
      </c>
      <c r="AU18" s="2546"/>
      <c r="AV18" s="2546"/>
      <c r="AW18" s="2546"/>
      <c r="AX18" s="2546"/>
      <c r="AY18" s="2548"/>
      <c r="AZ18" s="1209"/>
      <c r="BA18" s="1209"/>
      <c r="BB18" s="1209"/>
      <c r="BC18" s="1209"/>
      <c r="BD18" s="1209"/>
      <c r="BE18" s="1205"/>
    </row>
    <row r="19" spans="1:58" ht="15">
      <c r="A19" s="1209"/>
      <c r="B19" s="2519">
        <v>0.3</v>
      </c>
      <c r="C19" s="2520"/>
      <c r="D19" s="2520"/>
      <c r="E19" s="2520"/>
      <c r="F19" s="2520"/>
      <c r="G19" s="2520"/>
      <c r="H19" s="2520"/>
      <c r="I19" s="2521"/>
      <c r="J19" s="2522">
        <f t="shared" ref="J19:J28" si="0">SUM(P19:AS19)</f>
        <v>11</v>
      </c>
      <c r="K19" s="2523"/>
      <c r="L19" s="2523"/>
      <c r="M19" s="2523"/>
      <c r="N19" s="2523"/>
      <c r="O19" s="2524"/>
      <c r="P19" s="2522" cm="1">
        <f t="array" ref="P19">SUMPRODUCT((Application!$B$718:$B$752 = 'CalHFA Addendum'!P$18)*(Application!$AC$718:$AC$752 = 'CalHFA Addendum'!$B19),Application!$G$718:$G$752)</f>
        <v>0</v>
      </c>
      <c r="Q19" s="2523"/>
      <c r="R19" s="2523"/>
      <c r="S19" s="2523"/>
      <c r="T19" s="2523"/>
      <c r="U19" s="2524"/>
      <c r="V19" s="2522" cm="1">
        <f t="array" ref="V19">SUMPRODUCT((Application!$B$714:$B$738 = 'CalHFA Addendum'!V$18)*(Application!$AC$714:$AC$738 = 'CalHFA Addendum'!$B19),Application!$G$714:$G$738)</f>
        <v>3</v>
      </c>
      <c r="W19" s="2523"/>
      <c r="X19" s="2523"/>
      <c r="Y19" s="2523"/>
      <c r="Z19" s="2523"/>
      <c r="AA19" s="2524"/>
      <c r="AB19" s="2522" cm="1">
        <f t="array" ref="AB19">SUMPRODUCT((Application!$B$714:$B$738 = 'CalHFA Addendum'!AB$18)*(Application!$AC$714:$AC$738 = 'CalHFA Addendum'!$B19),Application!$G$714:$G$738)</f>
        <v>5</v>
      </c>
      <c r="AC19" s="2523"/>
      <c r="AD19" s="2523"/>
      <c r="AE19" s="2523"/>
      <c r="AF19" s="2523"/>
      <c r="AG19" s="2524"/>
      <c r="AH19" s="2522" cm="1">
        <f t="array" ref="AH19">SUMPRODUCT((Application!$B$714:$B$738 = 'CalHFA Addendum'!AH$18)*(Application!$AC$714:$AC$738 = 'CalHFA Addendum'!$B19),Application!$G$714:$G$738)</f>
        <v>3</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0.1111111111111111</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25</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6</v>
      </c>
      <c r="W20" s="2523"/>
      <c r="X20" s="2523"/>
      <c r="Y20" s="2523"/>
      <c r="Z20" s="2523"/>
      <c r="AA20" s="2524"/>
      <c r="AB20" s="2522" cm="1">
        <f t="array" ref="AB20">SUMPRODUCT((Application!$B$714:$B$738 = 'CalHFA Addendum'!AB$18)*(Application!$AC$714:$AC$738 = 'CalHFA Addendum'!$B20),Application!$G$714:$G$738)</f>
        <v>13</v>
      </c>
      <c r="AC20" s="2523"/>
      <c r="AD20" s="2523"/>
      <c r="AE20" s="2523"/>
      <c r="AF20" s="2523"/>
      <c r="AG20" s="2524"/>
      <c r="AH20" s="2522" cm="1">
        <f t="array" ref="AH20">SUMPRODUCT((Application!$B$714:$B$738 = 'CalHFA Addendum'!AH$18)*(Application!$AC$714:$AC$738 = 'CalHFA Addendum'!$B20),Application!$G$714:$G$738)</f>
        <v>6</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0.25252525252525254</v>
      </c>
      <c r="AU20" s="2526"/>
      <c r="AV20" s="2526"/>
      <c r="AW20" s="2526"/>
      <c r="AX20" s="2526"/>
      <c r="AY20" s="2527"/>
      <c r="AZ20" s="1209"/>
      <c r="BA20" s="1209"/>
      <c r="BB20" s="1209"/>
      <c r="BC20" s="1209"/>
      <c r="BD20" s="1209"/>
      <c r="BE20" s="1205"/>
    </row>
    <row r="21" spans="1:58" ht="15">
      <c r="A21" s="1209"/>
      <c r="B21" s="2519">
        <v>0.5</v>
      </c>
      <c r="C21" s="2520"/>
      <c r="D21" s="2520"/>
      <c r="E21" s="2520"/>
      <c r="F21" s="2520"/>
      <c r="G21" s="2520"/>
      <c r="H21" s="2520"/>
      <c r="I21" s="2521"/>
      <c r="J21" s="2522">
        <f t="shared" si="0"/>
        <v>40</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9</v>
      </c>
      <c r="W21" s="2523"/>
      <c r="X21" s="2523"/>
      <c r="Y21" s="2523"/>
      <c r="Z21" s="2523"/>
      <c r="AA21" s="2524"/>
      <c r="AB21" s="2522" cm="1">
        <f t="array" ref="AB21">SUMPRODUCT((Application!$B$714:$B$738 = 'CalHFA Addendum'!AB$18)*(Application!$AC$714:$AC$738 = 'CalHFA Addendum'!$B21),Application!$G$714:$G$738)</f>
        <v>21</v>
      </c>
      <c r="AC21" s="2523"/>
      <c r="AD21" s="2523"/>
      <c r="AE21" s="2523"/>
      <c r="AF21" s="2523"/>
      <c r="AG21" s="2524"/>
      <c r="AH21" s="2522" cm="1">
        <f t="array" ref="AH21">SUMPRODUCT((Application!$B$714:$B$738 = 'CalHFA Addendum'!AH$18)*(Application!$AC$714:$AC$738 = 'CalHFA Addendum'!$B21),Application!$G$714:$G$738)</f>
        <v>10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0.40404040404040403</v>
      </c>
      <c r="AU21" s="2526"/>
      <c r="AV21" s="2526"/>
      <c r="AW21" s="2526"/>
      <c r="AX21" s="2526"/>
      <c r="AY21" s="2527"/>
      <c r="AZ21" s="1209"/>
      <c r="BA21" s="1209"/>
      <c r="BB21" s="1209"/>
      <c r="BC21" s="1209"/>
      <c r="BD21" s="1209"/>
      <c r="BE21" s="1205"/>
    </row>
    <row r="22" spans="1:58" ht="15">
      <c r="A22" s="1209"/>
      <c r="B22" s="2519">
        <v>0.6</v>
      </c>
      <c r="C22" s="2520"/>
      <c r="D22" s="2520"/>
      <c r="E22" s="2520"/>
      <c r="F22" s="2520"/>
      <c r="G22" s="2520"/>
      <c r="H22" s="2520"/>
      <c r="I22" s="2521"/>
      <c r="J22" s="2522">
        <f t="shared" si="0"/>
        <v>23</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6</v>
      </c>
      <c r="W22" s="2523"/>
      <c r="X22" s="2523"/>
      <c r="Y22" s="2523"/>
      <c r="Z22" s="2523"/>
      <c r="AA22" s="2524"/>
      <c r="AB22" s="2522" cm="1">
        <f t="array" ref="AB22">SUMPRODUCT((Application!$B$714:$B$738 = 'CalHFA Addendum'!AB$18)*(Application!$AC$714:$AC$738 = 'CalHFA Addendum'!$B22),Application!$G$714:$G$738)</f>
        <v>11</v>
      </c>
      <c r="AC22" s="2523"/>
      <c r="AD22" s="2523"/>
      <c r="AE22" s="2523"/>
      <c r="AF22" s="2523"/>
      <c r="AG22" s="2524"/>
      <c r="AH22" s="2522" cm="1">
        <f t="array" ref="AH22">SUMPRODUCT((Application!$B$714:$B$738 = 'CalHFA Addendum'!AH$18)*(Application!$AC$714:$AC$738 = 'CalHFA Addendum'!$B22),Application!$G$714:$G$738)</f>
        <v>6</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0.23232323232323232</v>
      </c>
      <c r="AU22" s="2526"/>
      <c r="AV22" s="2526"/>
      <c r="AW22" s="2526"/>
      <c r="AX22" s="2526"/>
      <c r="AY22" s="2527"/>
      <c r="AZ22" s="1209"/>
      <c r="BA22" s="1209"/>
      <c r="BB22" s="1209"/>
      <c r="BC22" s="1209"/>
      <c r="BD22" s="1209"/>
      <c r="BE22" s="1205"/>
    </row>
    <row r="23" spans="1:58" ht="15">
      <c r="A23" s="1209"/>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9"/>
      <c r="BA23" s="1209"/>
      <c r="BB23" s="1209"/>
      <c r="BC23" s="1209"/>
      <c r="BD23" s="1209"/>
      <c r="BE23" s="1205"/>
    </row>
    <row r="24" spans="1:58" ht="15">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5">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5">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5">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thickBot="1">
      <c r="A28" s="1209"/>
      <c r="B28" s="2528" t="s">
        <v>1800</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thickBot="1">
      <c r="A29" s="1209"/>
      <c r="B29" s="2508" t="s">
        <v>1699</v>
      </c>
      <c r="C29" s="2486"/>
      <c r="D29" s="2486"/>
      <c r="E29" s="2486"/>
      <c r="F29" s="2486"/>
      <c r="G29" s="2486"/>
      <c r="H29" s="2486"/>
      <c r="I29" s="2487"/>
      <c r="J29" s="2485">
        <f>SUM(J19:O28)</f>
        <v>99</v>
      </c>
      <c r="K29" s="2486"/>
      <c r="L29" s="2486"/>
      <c r="M29" s="2486"/>
      <c r="N29" s="2486"/>
      <c r="O29" s="2487"/>
      <c r="P29" s="2485">
        <f>SUM(P19:U28)</f>
        <v>0</v>
      </c>
      <c r="Q29" s="2486"/>
      <c r="R29" s="2486"/>
      <c r="S29" s="2486"/>
      <c r="T29" s="2486"/>
      <c r="U29" s="2487"/>
      <c r="V29" s="2485">
        <f>SUM(V19:AA28)</f>
        <v>24</v>
      </c>
      <c r="W29" s="2486"/>
      <c r="X29" s="2486"/>
      <c r="Y29" s="2486"/>
      <c r="Z29" s="2486"/>
      <c r="AA29" s="2487"/>
      <c r="AB29" s="2485">
        <f>SUM(AB19:AG28)</f>
        <v>50</v>
      </c>
      <c r="AC29" s="2486"/>
      <c r="AD29" s="2486"/>
      <c r="AE29" s="2486"/>
      <c r="AF29" s="2486"/>
      <c r="AG29" s="2487"/>
      <c r="AH29" s="2485">
        <f>SUM(AH19:AM28)</f>
        <v>25</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9" t="s">
        <v>1801</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thickBot="1">
      <c r="A32" s="1209"/>
      <c r="B32" s="2504" t="s">
        <v>2474</v>
      </c>
      <c r="C32" s="2505"/>
      <c r="D32" s="2505"/>
      <c r="E32" s="2505"/>
      <c r="F32" s="2505"/>
      <c r="G32" s="2505"/>
      <c r="H32" s="2505"/>
      <c r="I32" s="2505"/>
      <c r="J32" s="2537" t="s">
        <v>2475</v>
      </c>
      <c r="K32" s="2538"/>
      <c r="L32" s="2538"/>
      <c r="M32" s="2538"/>
      <c r="N32" s="2537" t="s">
        <v>1802</v>
      </c>
      <c r="O32" s="2538"/>
      <c r="P32" s="2538"/>
      <c r="Q32" s="2540"/>
      <c r="R32" s="2498" t="s">
        <v>1803</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1804</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1805</v>
      </c>
      <c r="AT35" s="2516"/>
      <c r="AU35" s="2516"/>
      <c r="AV35" s="2516"/>
      <c r="AW35" s="2516"/>
      <c r="AX35" s="2517"/>
      <c r="AY35" s="2515" t="s">
        <v>1806</v>
      </c>
      <c r="AZ35" s="2516"/>
      <c r="BA35" s="2516"/>
      <c r="BB35" s="2516"/>
      <c r="BC35" s="2516"/>
      <c r="BD35" s="2518"/>
      <c r="BE35" s="1205"/>
    </row>
    <row r="36" spans="1:58" ht="15.75" customHeight="1">
      <c r="A36" s="1209"/>
      <c r="B36" s="2246" t="s">
        <v>1807</v>
      </c>
      <c r="C36" s="2247"/>
      <c r="D36" s="2247"/>
      <c r="E36" s="2247"/>
      <c r="F36" s="2247"/>
      <c r="G36" s="2247"/>
      <c r="H36" s="2247"/>
      <c r="I36" s="2247"/>
      <c r="J36" s="2478" t="s">
        <v>1808</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0.50505050505050508</v>
      </c>
      <c r="AZ36" s="2483"/>
      <c r="BA36" s="2483"/>
      <c r="BB36" s="2483"/>
      <c r="BC36" s="2483"/>
      <c r="BD36" s="2484"/>
      <c r="BE36" s="1205"/>
    </row>
    <row r="37" spans="1:58" ht="15.75" customHeight="1">
      <c r="A37" s="1209"/>
      <c r="B37" s="2246" t="s">
        <v>2476</v>
      </c>
      <c r="C37" s="2247"/>
      <c r="D37" s="2247"/>
      <c r="E37" s="2247"/>
      <c r="F37" s="2247"/>
      <c r="G37" s="2247"/>
      <c r="H37" s="2247"/>
      <c r="I37" s="2247"/>
      <c r="J37" s="2478" t="s">
        <v>1809</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0.10101010101010101</v>
      </c>
      <c r="AZ37" s="2483"/>
      <c r="BA37" s="2483"/>
      <c r="BB37" s="2483"/>
      <c r="BC37" s="2483"/>
      <c r="BD37" s="2484"/>
      <c r="BE37" s="1205"/>
    </row>
    <row r="38" spans="1:58" ht="15.75" customHeight="1">
      <c r="A38" s="1209"/>
      <c r="B38" s="2246" t="s">
        <v>2415</v>
      </c>
      <c r="C38" s="2247"/>
      <c r="D38" s="2247"/>
      <c r="E38" s="2247"/>
      <c r="F38" s="2247"/>
      <c r="G38" s="2247"/>
      <c r="H38" s="2247"/>
      <c r="I38" s="2247"/>
      <c r="J38" s="2478" t="s">
        <v>1810</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1811</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1811</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1812</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1812</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1813</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1814</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1815</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1816</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1817</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1818</v>
      </c>
      <c r="C51" s="2178"/>
      <c r="D51" s="2178"/>
      <c r="E51" s="2178"/>
      <c r="F51" s="2178"/>
      <c r="G51" s="2178"/>
      <c r="H51" s="2178"/>
      <c r="I51" s="2178"/>
      <c r="J51" s="2178" t="s">
        <v>2478</v>
      </c>
      <c r="K51" s="2178"/>
      <c r="L51" s="2178"/>
      <c r="M51" s="2178"/>
      <c r="N51" s="2178"/>
      <c r="O51" s="2178"/>
      <c r="P51" s="2178"/>
      <c r="Q51" s="2178"/>
      <c r="R51" s="2469" t="s">
        <v>2479</v>
      </c>
      <c r="S51" s="2469"/>
      <c r="T51" s="2469"/>
      <c r="U51" s="2469"/>
      <c r="V51" s="2469"/>
      <c r="W51" s="2469"/>
      <c r="X51" s="2469"/>
      <c r="Y51" s="2469"/>
      <c r="Z51" s="2469" t="s">
        <v>1819</v>
      </c>
      <c r="AA51" s="2469"/>
      <c r="AB51" s="2469"/>
      <c r="AC51" s="2469"/>
      <c r="AD51" s="2469"/>
      <c r="AE51" s="2469"/>
      <c r="AF51" s="2469"/>
      <c r="AG51" s="2469"/>
      <c r="AH51" s="2469" t="s">
        <v>1820</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2186</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2187</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1699</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1818</v>
      </c>
      <c r="C59" s="2466"/>
      <c r="D59" s="2466"/>
      <c r="E59" s="2466"/>
      <c r="F59" s="2466"/>
      <c r="G59" s="2466"/>
      <c r="H59" s="2466"/>
      <c r="I59" s="2467"/>
      <c r="J59" s="2431" t="s">
        <v>2480</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1822</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1823</v>
      </c>
      <c r="AD68" s="2183"/>
      <c r="AE68" s="2183"/>
      <c r="AF68" s="2183"/>
      <c r="AG68" s="2183"/>
      <c r="AH68" s="2183"/>
      <c r="AI68" s="2183"/>
      <c r="AJ68" s="2183"/>
      <c r="AK68" s="2183"/>
      <c r="AL68" s="2183"/>
      <c r="AM68" s="2183"/>
      <c r="AN68" s="2183"/>
      <c r="AO68" s="2183"/>
      <c r="AP68" s="2183"/>
      <c r="AQ68" s="2183"/>
      <c r="AR68" s="2183"/>
      <c r="AS68" s="2183"/>
      <c r="AT68" s="2183"/>
      <c r="AU68" s="2183"/>
      <c r="AV68" s="2233" t="s">
        <v>678</v>
      </c>
      <c r="AW68" s="2234"/>
      <c r="AX68" s="2234"/>
      <c r="AY68" s="2234"/>
      <c r="AZ68" s="2234"/>
      <c r="BA68" s="2234"/>
      <c r="BB68" s="2234"/>
      <c r="BC68" s="2235"/>
      <c r="BD68" s="1209"/>
      <c r="BE68" s="1205"/>
      <c r="BM68" s="1254" t="s">
        <v>2481</v>
      </c>
    </row>
    <row r="69" spans="1:65" ht="15.75" customHeight="1" thickTop="1" thickBot="1">
      <c r="A69" s="1209"/>
      <c r="B69" s="2236" t="s">
        <v>1824</v>
      </c>
      <c r="C69" s="2237"/>
      <c r="D69" s="2237"/>
      <c r="E69" s="2237"/>
      <c r="F69" s="2237"/>
      <c r="G69" s="2237"/>
      <c r="H69" s="2237"/>
      <c r="I69" s="2237"/>
      <c r="J69" s="2237"/>
      <c r="K69" s="2237"/>
      <c r="L69" s="2237"/>
      <c r="M69" s="2237"/>
      <c r="N69" s="2237"/>
      <c r="O69" s="2238" t="s">
        <v>1825</v>
      </c>
      <c r="P69" s="2239"/>
      <c r="Q69" s="2239"/>
      <c r="R69" s="2239"/>
      <c r="S69" s="2239"/>
      <c r="T69" s="2239"/>
      <c r="U69" s="2239"/>
      <c r="V69" s="2239"/>
      <c r="W69" s="2239"/>
      <c r="X69" s="2239"/>
      <c r="Y69" s="2239"/>
      <c r="Z69" s="2239"/>
      <c r="AA69" s="2240"/>
      <c r="AB69" s="1209"/>
      <c r="AC69" s="2241" t="s">
        <v>1826</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554</v>
      </c>
    </row>
    <row r="70" spans="1:65" ht="15.75" customHeight="1">
      <c r="A70" s="1209"/>
      <c r="B70" s="2246" t="s">
        <v>2482</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1827</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678</v>
      </c>
    </row>
    <row r="71" spans="1:65" ht="15.75" customHeight="1" thickBot="1">
      <c r="A71" s="1209"/>
      <c r="B71" s="2246" t="s">
        <v>2483</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1828</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2484</v>
      </c>
    </row>
    <row r="72" spans="1:65" ht="15.75" customHeight="1">
      <c r="A72" s="1209"/>
      <c r="B72" s="2246" t="s">
        <v>2485</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2486</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2487</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2188</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5" t="s">
        <v>2554</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2171</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2621</v>
      </c>
      <c r="AK83" s="2186"/>
      <c r="AL83" s="2186"/>
      <c r="AM83" s="2186"/>
      <c r="AN83" s="2186"/>
      <c r="AO83" s="2186"/>
      <c r="AP83" s="2186"/>
      <c r="AQ83" s="2186"/>
      <c r="AR83" s="2186"/>
      <c r="AS83" s="2186"/>
      <c r="AT83" s="2186"/>
      <c r="AU83" s="2186"/>
      <c r="AV83" s="2186"/>
      <c r="AW83" s="2186"/>
      <c r="AX83" s="2186"/>
      <c r="AY83" s="2207" t="s">
        <v>554</v>
      </c>
      <c r="AZ83" s="2207"/>
      <c r="BA83" s="2207"/>
      <c r="BB83" s="2208"/>
      <c r="BC83" s="1209"/>
      <c r="BD83" s="1209"/>
      <c r="BE83" s="1205"/>
    </row>
    <row r="84" spans="1:70" ht="15.75" customHeight="1">
      <c r="A84" s="1209"/>
      <c r="B84" s="2177"/>
      <c r="C84" s="2178"/>
      <c r="D84" s="2178"/>
      <c r="E84" s="2178"/>
      <c r="F84" s="2178"/>
      <c r="G84" s="2178"/>
      <c r="H84" s="2178"/>
      <c r="I84" s="2178" t="s">
        <v>1829</v>
      </c>
      <c r="J84" s="2178"/>
      <c r="K84" s="2178"/>
      <c r="L84" s="2178"/>
      <c r="M84" s="2178"/>
      <c r="N84" s="2178"/>
      <c r="O84" s="2178" t="s">
        <v>1830</v>
      </c>
      <c r="P84" s="2178"/>
      <c r="Q84" s="2178"/>
      <c r="R84" s="2178"/>
      <c r="S84" s="2178"/>
      <c r="T84" s="2178"/>
      <c r="U84" s="2178"/>
      <c r="V84" s="2179" t="s">
        <v>2189</v>
      </c>
      <c r="W84" s="2179"/>
      <c r="X84" s="2179"/>
      <c r="Y84" s="2179"/>
      <c r="Z84" s="2179"/>
      <c r="AA84" s="2179"/>
      <c r="AB84" s="2180" t="s">
        <v>1831</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2172</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2173</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2488</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1832</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5" t="s">
        <v>2554</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2618</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2617</v>
      </c>
      <c r="AK96" s="2186"/>
      <c r="AL96" s="2186"/>
      <c r="AM96" s="2186"/>
      <c r="AN96" s="2186"/>
      <c r="AO96" s="2186"/>
      <c r="AP96" s="2186"/>
      <c r="AQ96" s="2186"/>
      <c r="AR96" s="2186"/>
      <c r="AS96" s="2186"/>
      <c r="AT96" s="2186"/>
      <c r="AU96" s="2186"/>
      <c r="AV96" s="2186"/>
      <c r="AW96" s="2186"/>
      <c r="AX96" s="2186"/>
      <c r="AY96" s="2207" t="s">
        <v>554</v>
      </c>
      <c r="AZ96" s="2207"/>
      <c r="BA96" s="2207"/>
      <c r="BB96" s="2208"/>
      <c r="BC96" s="1209"/>
      <c r="BD96" s="1209"/>
      <c r="BE96" s="1205"/>
      <c r="BQ96" s="1248" t="str">
        <f>Application!M243</f>
        <v>Bold Manteca LLC</v>
      </c>
      <c r="BR96" s="1248">
        <f>Application!AH245</f>
        <v>0</v>
      </c>
    </row>
    <row r="97" spans="1:70" ht="15.75" customHeight="1">
      <c r="A97" s="1209"/>
      <c r="B97" s="2177"/>
      <c r="C97" s="2178"/>
      <c r="D97" s="2178"/>
      <c r="E97" s="2178"/>
      <c r="F97" s="2178"/>
      <c r="G97" s="2178"/>
      <c r="H97" s="2178"/>
      <c r="I97" s="2178" t="s">
        <v>1829</v>
      </c>
      <c r="J97" s="2178"/>
      <c r="K97" s="2178"/>
      <c r="L97" s="2178"/>
      <c r="M97" s="2178"/>
      <c r="N97" s="2178"/>
      <c r="O97" s="2178" t="s">
        <v>1830</v>
      </c>
      <c r="P97" s="2178"/>
      <c r="Q97" s="2178"/>
      <c r="R97" s="2178"/>
      <c r="S97" s="2178"/>
      <c r="T97" s="2178"/>
      <c r="U97" s="2178"/>
      <c r="V97" s="2179" t="s">
        <v>2189</v>
      </c>
      <c r="W97" s="2179"/>
      <c r="X97" s="2179"/>
      <c r="Y97" s="2179"/>
      <c r="Z97" s="2179"/>
      <c r="AA97" s="2179"/>
      <c r="AB97" s="2180" t="s">
        <v>1831</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f>Application!M251</f>
        <v>0</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2172</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2173</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2488</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1832</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2614</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1829</v>
      </c>
      <c r="J108" s="2178"/>
      <c r="K108" s="2178"/>
      <c r="L108" s="2178"/>
      <c r="M108" s="2178"/>
      <c r="N108" s="2178"/>
      <c r="O108" s="2178" t="s">
        <v>1830</v>
      </c>
      <c r="P108" s="2178"/>
      <c r="Q108" s="2178"/>
      <c r="R108" s="2178"/>
      <c r="S108" s="2178"/>
      <c r="T108" s="2178"/>
      <c r="U108" s="2178"/>
      <c r="V108" s="2179" t="s">
        <v>2189</v>
      </c>
      <c r="W108" s="2179"/>
      <c r="X108" s="2179"/>
      <c r="Y108" s="2179"/>
      <c r="Z108" s="2179"/>
      <c r="AA108" s="2179"/>
      <c r="AB108" s="2180" t="s">
        <v>1831</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2172</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2173</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1832</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2489</v>
      </c>
      <c r="C117" s="2186"/>
      <c r="D117" s="2186"/>
      <c r="E117" s="2186"/>
      <c r="F117" s="2186"/>
      <c r="G117" s="2186"/>
      <c r="H117" s="2186"/>
      <c r="I117" s="2186"/>
      <c r="J117" s="2186"/>
      <c r="K117" s="2186"/>
      <c r="L117" s="2186"/>
      <c r="M117" s="2186"/>
      <c r="N117" s="2186"/>
      <c r="O117" s="2186"/>
      <c r="P117" s="2186"/>
      <c r="Q117" s="2207" t="s">
        <v>554</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2190</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2174</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1689</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2175</v>
      </c>
      <c r="J127" s="2178"/>
      <c r="K127" s="2178"/>
      <c r="L127" s="2178"/>
      <c r="M127" s="2178"/>
      <c r="N127" s="2178"/>
      <c r="O127" s="2438" t="s">
        <v>2176</v>
      </c>
      <c r="P127" s="2438"/>
      <c r="Q127" s="2438"/>
      <c r="R127" s="2438"/>
      <c r="S127" s="2438"/>
      <c r="T127" s="2438"/>
      <c r="U127" s="2439"/>
      <c r="V127" s="1209"/>
      <c r="W127" s="1209"/>
      <c r="X127" s="2401" t="s">
        <v>2188</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2177</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2178</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1835</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1830</v>
      </c>
      <c r="J134" s="2413"/>
      <c r="K134" s="2413"/>
      <c r="L134" s="2413"/>
      <c r="M134" s="2413"/>
      <c r="N134" s="2413"/>
      <c r="O134" s="2413"/>
      <c r="P134" s="2413" t="s">
        <v>2189</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2177</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2178</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1836</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554</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1837</v>
      </c>
      <c r="C140" s="2421"/>
      <c r="D140" s="2421"/>
      <c r="E140" s="2421"/>
      <c r="F140" s="2421"/>
      <c r="G140" s="2421"/>
      <c r="H140" s="2421"/>
      <c r="I140" s="2421"/>
      <c r="J140" s="2421"/>
      <c r="K140" s="2421"/>
      <c r="L140" s="2421"/>
      <c r="M140" s="2421"/>
      <c r="N140" s="2421"/>
      <c r="O140" s="2421"/>
      <c r="P140" s="2421"/>
      <c r="Q140" s="2421"/>
      <c r="R140" s="2422" t="s">
        <v>2191</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2192</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1839</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2194</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1830</v>
      </c>
      <c r="J155" s="2413"/>
      <c r="K155" s="2413"/>
      <c r="L155" s="2413"/>
      <c r="M155" s="2413"/>
      <c r="N155" s="2413"/>
      <c r="O155" s="2413"/>
      <c r="P155" s="2413" t="s">
        <v>2195</v>
      </c>
      <c r="Q155" s="2413"/>
      <c r="R155" s="2413"/>
      <c r="S155" s="2413"/>
      <c r="T155" s="2413"/>
      <c r="U155" s="2414"/>
      <c r="V155" s="1209"/>
      <c r="W155" s="1209"/>
      <c r="X155" s="2398"/>
      <c r="Y155" s="2399"/>
      <c r="Z155" s="2399"/>
      <c r="AA155" s="2399"/>
      <c r="AB155" s="2399"/>
      <c r="AC155" s="2399"/>
      <c r="AD155" s="2399"/>
      <c r="AE155" s="2413" t="s">
        <v>1830</v>
      </c>
      <c r="AF155" s="2413"/>
      <c r="AG155" s="2413"/>
      <c r="AH155" s="2413"/>
      <c r="AI155" s="2413"/>
      <c r="AJ155" s="2413"/>
      <c r="AK155" s="2413"/>
      <c r="AL155" s="2413" t="s">
        <v>2189</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2177</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2179</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1840</v>
      </c>
      <c r="D161" s="2399"/>
      <c r="E161" s="2399"/>
      <c r="F161" s="2399"/>
      <c r="G161" s="2399"/>
      <c r="H161" s="2399"/>
      <c r="I161" s="2399"/>
      <c r="J161" s="2399"/>
      <c r="K161" s="2399"/>
      <c r="L161" s="2399"/>
      <c r="M161" s="2399"/>
      <c r="N161" s="2399"/>
      <c r="O161" s="2399"/>
      <c r="P161" s="2399"/>
      <c r="Q161" s="2399" t="s">
        <v>1841</v>
      </c>
      <c r="R161" s="2399"/>
      <c r="S161" s="2399"/>
      <c r="T161" s="2180" t="s">
        <v>2180</v>
      </c>
      <c r="U161" s="2180"/>
      <c r="V161" s="2180"/>
      <c r="W161" s="2180"/>
      <c r="X161" s="2180"/>
      <c r="Y161" s="2180"/>
      <c r="Z161" s="2180"/>
      <c r="AA161" s="2180"/>
      <c r="AB161" s="2399" t="s">
        <v>1842</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1843</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1844</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1845</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1816</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1846</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1846</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1846</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1847</v>
      </c>
      <c r="D170" s="2183"/>
      <c r="E170" s="2183"/>
      <c r="F170" s="2183"/>
      <c r="G170" s="2183"/>
      <c r="H170" s="2183"/>
      <c r="I170" s="2183"/>
      <c r="J170" s="2183"/>
      <c r="K170" s="2183"/>
      <c r="L170" s="2183"/>
      <c r="M170" s="2183"/>
      <c r="N170" s="2184"/>
      <c r="O170" s="1209"/>
      <c r="P170" s="2395" t="s">
        <v>1848</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1849</v>
      </c>
      <c r="D171" s="2399"/>
      <c r="E171" s="2399"/>
      <c r="F171" s="2399"/>
      <c r="G171" s="2399"/>
      <c r="H171" s="2399"/>
      <c r="I171" s="2399" t="s">
        <v>1850</v>
      </c>
      <c r="J171" s="2399"/>
      <c r="K171" s="2399"/>
      <c r="L171" s="2399"/>
      <c r="M171" s="2399"/>
      <c r="N171" s="2400"/>
      <c r="O171" s="1209"/>
      <c r="P171" s="2401" t="s">
        <v>2188</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2490</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2607</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2628</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1840</v>
      </c>
      <c r="D182" s="2183"/>
      <c r="E182" s="2183"/>
      <c r="F182" s="2183"/>
      <c r="G182" s="2183"/>
      <c r="H182" s="2183"/>
      <c r="I182" s="2183"/>
      <c r="J182" s="2183"/>
      <c r="K182" s="2183"/>
      <c r="L182" s="2183"/>
      <c r="M182" s="2183"/>
      <c r="N182" s="2183" t="s">
        <v>1851</v>
      </c>
      <c r="O182" s="2183"/>
      <c r="P182" s="2183"/>
      <c r="Q182" s="2183"/>
      <c r="R182" s="2183"/>
      <c r="S182" s="2183"/>
      <c r="T182" s="2183"/>
      <c r="U182" s="2215" t="s">
        <v>1840</v>
      </c>
      <c r="V182" s="2215"/>
      <c r="W182" s="2215"/>
      <c r="X182" s="2215"/>
      <c r="Y182" s="2215"/>
      <c r="Z182" s="2215"/>
      <c r="AA182" s="2215"/>
      <c r="AB182" s="2215"/>
      <c r="AC182" s="2215"/>
      <c r="AD182" s="2215"/>
      <c r="AE182" s="2216"/>
      <c r="AF182" s="1209"/>
      <c r="AG182" s="1209"/>
      <c r="AH182" s="2370" t="s">
        <v>2612</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2491</v>
      </c>
      <c r="D183" s="2360"/>
      <c r="E183" s="2360"/>
      <c r="F183" s="2360"/>
      <c r="G183" s="2360"/>
      <c r="H183" s="2360"/>
      <c r="I183" s="2360"/>
      <c r="J183" s="2360"/>
      <c r="K183" s="2360"/>
      <c r="L183" s="2360"/>
      <c r="M183" s="2360"/>
      <c r="N183" s="2373">
        <f>'Sources and Uses Budget'!B105</f>
        <v>74564494</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2611</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9"/>
      <c r="B184" s="1209"/>
      <c r="C184" s="2359" t="s">
        <v>2492</v>
      </c>
      <c r="D184" s="2360"/>
      <c r="E184" s="2360"/>
      <c r="F184" s="2360"/>
      <c r="G184" s="2360"/>
      <c r="H184" s="2360"/>
      <c r="I184" s="2360"/>
      <c r="J184" s="2360"/>
      <c r="K184" s="2360"/>
      <c r="L184" s="2360"/>
      <c r="M184" s="2360"/>
      <c r="N184" s="2373">
        <f>N183/J29</f>
        <v>753176.70707070711</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2610</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9"/>
      <c r="B185" s="1209"/>
      <c r="C185" s="2376" t="s">
        <v>2493</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2609</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2494</v>
      </c>
      <c r="D186" s="2360"/>
      <c r="E186" s="2360"/>
      <c r="F186" s="2360"/>
      <c r="G186" s="2360"/>
      <c r="H186" s="2360"/>
      <c r="I186" s="2360"/>
      <c r="J186" s="2360"/>
      <c r="K186" s="2360"/>
      <c r="L186" s="2360"/>
      <c r="M186" s="2360"/>
      <c r="N186" s="2361">
        <f>SUM('Sources and Uses Budget'!B85:B86)</f>
        <v>3712828</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2495</v>
      </c>
      <c r="D187" s="2360"/>
      <c r="E187" s="2360"/>
      <c r="F187" s="2360"/>
      <c r="G187" s="2360"/>
      <c r="H187" s="2360"/>
      <c r="I187" s="2360"/>
      <c r="J187" s="2360"/>
      <c r="K187" s="2360"/>
      <c r="L187" s="2360"/>
      <c r="M187" s="2360"/>
      <c r="N187" s="2361">
        <f>'Sources and Uses Budget'!B8</f>
        <v>2500000</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1852</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2496</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1852</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2497</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2608</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1846</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2607</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1846</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1846</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1853</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1854</v>
      </c>
      <c r="D193" s="2336"/>
      <c r="E193" s="2336"/>
      <c r="F193" s="2336"/>
      <c r="G193" s="2336"/>
      <c r="H193" s="2336"/>
      <c r="I193" s="2336"/>
      <c r="J193" s="2336"/>
      <c r="K193" s="2336"/>
      <c r="L193" s="2336"/>
      <c r="M193" s="2336"/>
      <c r="N193" s="2337">
        <f>SUM(N185:T192)</f>
        <v>6212828</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2606</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2498</v>
      </c>
      <c r="D194" s="2316"/>
      <c r="E194" s="2316"/>
      <c r="F194" s="2316"/>
      <c r="G194" s="2316"/>
      <c r="H194" s="2316"/>
      <c r="I194" s="2316"/>
      <c r="J194" s="2316"/>
      <c r="K194" s="2316"/>
      <c r="L194" s="2316"/>
      <c r="M194" s="2316"/>
      <c r="N194" s="2317">
        <f>(N183-N193)/J29</f>
        <v>690420.86868686869</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2605</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2604</v>
      </c>
      <c r="D198" s="2591"/>
      <c r="E198" s="2591"/>
      <c r="F198" s="2591"/>
      <c r="G198" s="2591"/>
      <c r="H198" s="2591"/>
      <c r="I198" s="2591"/>
      <c r="J198" s="2591"/>
      <c r="K198" s="2591"/>
      <c r="L198" s="2591"/>
      <c r="M198" s="2591"/>
      <c r="N198" s="2591"/>
      <c r="O198" s="2592" t="s">
        <v>2603</v>
      </c>
      <c r="P198" s="2592"/>
      <c r="Q198" s="2592"/>
      <c r="R198" s="2592"/>
      <c r="S198" s="2592"/>
      <c r="T198" s="2592"/>
      <c r="U198" s="2592"/>
      <c r="V198" s="2592"/>
      <c r="W198" s="2592"/>
      <c r="X198" s="2592" t="s">
        <v>2602</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2601</v>
      </c>
      <c r="D199" s="2589"/>
      <c r="E199" s="2589"/>
      <c r="F199" s="2589"/>
      <c r="G199" s="2589"/>
      <c r="H199" s="2589"/>
      <c r="I199" s="2589"/>
      <c r="J199" s="2589"/>
      <c r="K199" s="2589"/>
      <c r="L199" s="2589"/>
      <c r="M199" s="2589"/>
      <c r="N199" s="2589"/>
      <c r="O199" s="2321" t="s">
        <v>2600</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866</v>
      </c>
      <c r="D200" s="2589"/>
      <c r="E200" s="2589"/>
      <c r="F200" s="2589"/>
      <c r="G200" s="2589"/>
      <c r="H200" s="2589"/>
      <c r="I200" s="2589"/>
      <c r="J200" s="2589"/>
      <c r="K200" s="2589"/>
      <c r="L200" s="2589"/>
      <c r="M200" s="2589"/>
      <c r="N200" s="2589"/>
      <c r="O200" s="2321" t="s">
        <v>2600</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2599</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2598</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2597</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2596</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2595</v>
      </c>
      <c r="D205" s="2261"/>
      <c r="E205" s="2261"/>
      <c r="F205" s="2304"/>
      <c r="G205" s="2260" t="s">
        <v>2594</v>
      </c>
      <c r="H205" s="2261"/>
      <c r="I205" s="2261"/>
      <c r="J205" s="2261"/>
      <c r="K205" s="2261"/>
      <c r="L205" s="2261"/>
      <c r="M205" s="2261"/>
      <c r="N205" s="2261"/>
      <c r="O205" s="2304"/>
      <c r="P205" s="2307" t="s">
        <v>2593</v>
      </c>
      <c r="Q205" s="2308"/>
      <c r="R205" s="2308"/>
      <c r="S205" s="2308"/>
      <c r="T205" s="2309"/>
      <c r="U205" s="2254" t="s">
        <v>2592</v>
      </c>
      <c r="V205" s="2255"/>
      <c r="W205" s="2255"/>
      <c r="X205" s="2256"/>
      <c r="Y205" s="2254" t="s">
        <v>2591</v>
      </c>
      <c r="Z205" s="2255"/>
      <c r="AA205" s="2255"/>
      <c r="AB205" s="2256"/>
      <c r="AC205" s="2254" t="s">
        <v>2590</v>
      </c>
      <c r="AD205" s="2255"/>
      <c r="AE205" s="2255"/>
      <c r="AF205" s="2256"/>
      <c r="AG205" s="2260" t="s">
        <v>2589</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2155</v>
      </c>
      <c r="H207" s="2268"/>
      <c r="I207" s="2268"/>
      <c r="J207" s="2268"/>
      <c r="K207" s="2268"/>
      <c r="L207" s="2268"/>
      <c r="M207" s="2268"/>
      <c r="N207" s="2268"/>
      <c r="O207" s="2268"/>
      <c r="P207" s="2269"/>
      <c r="Q207" s="2270"/>
      <c r="R207" s="2270"/>
      <c r="S207" s="2270"/>
      <c r="T207" s="2270"/>
      <c r="U207" s="2271" t="s">
        <v>2155</v>
      </c>
      <c r="V207" s="2271"/>
      <c r="W207" s="2271"/>
      <c r="X207" s="2271"/>
      <c r="Y207" s="2271" t="s">
        <v>2155</v>
      </c>
      <c r="Z207" s="2271"/>
      <c r="AA207" s="2271"/>
      <c r="AB207" s="2271"/>
      <c r="AC207" s="2272" t="s">
        <v>2155</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2155</v>
      </c>
      <c r="H208" s="2268"/>
      <c r="I208" s="2268"/>
      <c r="J208" s="2268"/>
      <c r="K208" s="2268"/>
      <c r="L208" s="2268"/>
      <c r="M208" s="2268"/>
      <c r="N208" s="2268"/>
      <c r="O208" s="2268"/>
      <c r="P208" s="2269"/>
      <c r="Q208" s="2269"/>
      <c r="R208" s="2269"/>
      <c r="S208" s="2269"/>
      <c r="T208" s="2269"/>
      <c r="U208" s="2271" t="s">
        <v>2155</v>
      </c>
      <c r="V208" s="2271"/>
      <c r="W208" s="2271"/>
      <c r="X208" s="2271"/>
      <c r="Y208" s="2271" t="s">
        <v>2155</v>
      </c>
      <c r="Z208" s="2271"/>
      <c r="AA208" s="2271"/>
      <c r="AB208" s="2271"/>
      <c r="AC208" s="2272" t="s">
        <v>2155</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2155</v>
      </c>
      <c r="H209" s="2268"/>
      <c r="I209" s="2268"/>
      <c r="J209" s="2268"/>
      <c r="K209" s="2268"/>
      <c r="L209" s="2268"/>
      <c r="M209" s="2268"/>
      <c r="N209" s="2268"/>
      <c r="O209" s="2268"/>
      <c r="P209" s="2269"/>
      <c r="Q209" s="2269"/>
      <c r="R209" s="2269"/>
      <c r="S209" s="2269"/>
      <c r="T209" s="2269"/>
      <c r="U209" s="2271" t="s">
        <v>2155</v>
      </c>
      <c r="V209" s="2271"/>
      <c r="W209" s="2271"/>
      <c r="X209" s="2271"/>
      <c r="Y209" s="2271" t="s">
        <v>2155</v>
      </c>
      <c r="Z209" s="2271"/>
      <c r="AA209" s="2271"/>
      <c r="AB209" s="2271"/>
      <c r="AC209" s="2272" t="s">
        <v>2155</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2155</v>
      </c>
      <c r="H210" s="2268"/>
      <c r="I210" s="2268"/>
      <c r="J210" s="2268"/>
      <c r="K210" s="2268"/>
      <c r="L210" s="2268"/>
      <c r="M210" s="2268"/>
      <c r="N210" s="2268"/>
      <c r="O210" s="2268"/>
      <c r="P210" s="2269"/>
      <c r="Q210" s="2269"/>
      <c r="R210" s="2269"/>
      <c r="S210" s="2269"/>
      <c r="T210" s="2269"/>
      <c r="U210" s="2271" t="s">
        <v>2155</v>
      </c>
      <c r="V210" s="2271"/>
      <c r="W210" s="2271"/>
      <c r="X210" s="2271"/>
      <c r="Y210" s="2271" t="s">
        <v>2155</v>
      </c>
      <c r="Z210" s="2271"/>
      <c r="AA210" s="2271"/>
      <c r="AB210" s="2271"/>
      <c r="AC210" s="2272" t="s">
        <v>2155</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2155</v>
      </c>
      <c r="V211" s="2271"/>
      <c r="W211" s="2271"/>
      <c r="X211" s="2271"/>
      <c r="Y211" s="2271" t="s">
        <v>2155</v>
      </c>
      <c r="Z211" s="2271"/>
      <c r="AA211" s="2271"/>
      <c r="AB211" s="2271"/>
      <c r="AC211" s="2272" t="s">
        <v>2155</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2155</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2155</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2155</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2588</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1855</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1856</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1857</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1858</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1860</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2499</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1861</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1862</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1863</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444</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1864</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1865</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1" t="s">
        <v>1391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2.9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2.9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2.9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2.9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2.9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67178715</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2.95" customHeight="1">
      <c r="B12" s="2637" t="s">
        <v>506</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2.95"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2.95"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2.95"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2.95"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2.95"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2.95" customHeight="1">
      <c r="A18"/>
      <c r="B18" s="1194"/>
      <c r="C18" s="1750" t="s">
        <v>980</v>
      </c>
      <c r="D18" s="1750"/>
      <c r="E18" s="1750"/>
      <c r="F18" s="1750"/>
      <c r="G18" s="1750"/>
      <c r="H18" s="1750"/>
      <c r="I18" s="1750"/>
      <c r="J18" s="1750"/>
      <c r="K18" s="1750"/>
      <c r="L18" s="1750"/>
      <c r="M18" s="1750"/>
      <c r="N18" s="1750"/>
      <c r="O18" s="1750"/>
      <c r="P18" s="1750"/>
      <c r="Q18" s="1750"/>
      <c r="R18" s="1750"/>
      <c r="S18" s="1751"/>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2.95" customHeight="1">
      <c r="B19" s="1194"/>
      <c r="C19" s="1750" t="s">
        <v>980</v>
      </c>
      <c r="D19" s="1750"/>
      <c r="E19" s="1750"/>
      <c r="F19" s="1750"/>
      <c r="G19" s="1750"/>
      <c r="H19" s="1750"/>
      <c r="I19" s="1750"/>
      <c r="J19" s="1750"/>
      <c r="K19" s="1750"/>
      <c r="L19" s="1750"/>
      <c r="M19" s="1750"/>
      <c r="N19" s="1750"/>
      <c r="O19" s="1750"/>
      <c r="P19" s="1750"/>
      <c r="Q19" s="1750"/>
      <c r="R19" s="1750"/>
      <c r="S19" s="1751"/>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2.95"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2.95" customHeight="1">
      <c r="B21" s="2622" t="s">
        <v>1374</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2.95"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67178715</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2.95"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95825742.359999999</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2.95" customHeight="1">
      <c r="B25" s="2626" t="s">
        <v>1375</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87332329.5</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2.9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2.95"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87332329.5</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2.95"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87332329.5</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2.95" customHeight="1">
      <c r="B30" s="2625" t="s">
        <v>1377</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2.95" customHeight="1">
      <c r="B31" s="2625" t="s">
        <v>1376</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66" t="s">
        <v>370</v>
      </c>
      <c r="AE35" s="2666"/>
      <c r="AF35" s="2666"/>
      <c r="AG35" s="2666"/>
      <c r="AH35" s="2666"/>
    </row>
    <row r="36" spans="1:76" ht="12.95" customHeight="1">
      <c r="B36" s="438"/>
      <c r="X36" s="443"/>
      <c r="Y36" s="2643"/>
      <c r="Z36" s="2643"/>
      <c r="AA36" s="2643"/>
      <c r="AB36" s="2643"/>
      <c r="AC36" s="2643"/>
      <c r="AD36" s="2666"/>
      <c r="AE36" s="2666"/>
      <c r="AF36" s="2666"/>
      <c r="AG36" s="2666"/>
      <c r="AH36" s="266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2.95"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87332329.5</v>
      </c>
      <c r="Z38" s="2616"/>
      <c r="AA38" s="2616"/>
      <c r="AB38" s="2616"/>
      <c r="AC38" s="2616"/>
      <c r="AD38" s="2616">
        <f>IF(T24&gt;=(T23+Y23+AD23+AI23),AD28+AI28,0)</f>
        <v>0</v>
      </c>
      <c r="AE38" s="2616"/>
      <c r="AF38" s="2616"/>
      <c r="AG38" s="2616"/>
      <c r="AH38" s="2616"/>
    </row>
    <row r="39" spans="1:76" ht="12.95" customHeight="1">
      <c r="B39" s="2622" t="s">
        <v>1882</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2.95"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3493293</v>
      </c>
      <c r="Z40" s="2616"/>
      <c r="AA40" s="2616"/>
      <c r="AB40" s="2616"/>
      <c r="AC40" s="2616"/>
      <c r="AD40" s="2615">
        <f>ROUND(AD38*AD39,0)</f>
        <v>0</v>
      </c>
      <c r="AE40" s="2616"/>
      <c r="AF40" s="2616"/>
      <c r="AG40" s="2616"/>
      <c r="AH40" s="2616"/>
    </row>
    <row r="41" spans="1:76" ht="12.95"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3493293</v>
      </c>
      <c r="Z41" s="2618"/>
      <c r="AA41" s="2618"/>
      <c r="AB41" s="2618"/>
      <c r="AC41" s="2618"/>
      <c r="AD41" s="2618"/>
      <c r="AE41" s="2618"/>
      <c r="AF41" s="2618"/>
      <c r="AG41" s="2618"/>
      <c r="AH41" s="261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0" t="s">
        <v>1387</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2.95" customHeight="1" thickTop="1"/>
    <row r="46" spans="1:76" ht="12.95" customHeight="1">
      <c r="A46" s="435" t="s">
        <v>595</v>
      </c>
      <c r="C46" s="435" t="s">
        <v>283</v>
      </c>
    </row>
    <row r="47" spans="1:76" ht="12.95" customHeight="1">
      <c r="D47" s="435" t="s">
        <v>284</v>
      </c>
      <c r="AB47" s="2632">
        <f>'Sources and Uses Budget'!B105-MAX(IF('Sources and Uses Budget'!B15="",0,'Sources and Uses Budget'!B15),IF(Application!AG394="",0,Application!AG394))</f>
        <v>74564494</v>
      </c>
      <c r="AC47" s="2633"/>
      <c r="AD47" s="2633"/>
      <c r="AE47" s="2633"/>
      <c r="AF47" s="2634"/>
    </row>
    <row r="48" spans="1:76" ht="12.95" customHeight="1">
      <c r="D48" s="435" t="s">
        <v>21</v>
      </c>
      <c r="AB48" s="2632">
        <f>Application!AO639-MAX(IF('Sources and Uses Budget'!B15="",0,'Sources and Uses Budget'!B15),IF(Application!AG394="",0,Application!AG394))</f>
        <v>42989957</v>
      </c>
      <c r="AC48" s="2633"/>
      <c r="AD48" s="2633"/>
      <c r="AE48" s="2633"/>
      <c r="AF48" s="2634"/>
    </row>
    <row r="49" spans="1:76" ht="12.95" customHeight="1">
      <c r="D49" s="435" t="s">
        <v>91</v>
      </c>
      <c r="AB49" s="2632">
        <f>AB47-AB48</f>
        <v>31574537</v>
      </c>
      <c r="AC49" s="2633"/>
      <c r="AD49" s="2633"/>
      <c r="AE49" s="2633"/>
      <c r="AF49" s="2634"/>
    </row>
    <row r="50" spans="1:76" ht="12.95" customHeight="1">
      <c r="D50" s="435" t="s">
        <v>690</v>
      </c>
      <c r="AA50" s="446"/>
      <c r="AB50" s="2659">
        <v>0.90386168899999997</v>
      </c>
      <c r="AC50" s="2660"/>
      <c r="AD50" s="2660"/>
      <c r="AE50" s="2660"/>
      <c r="AF50" s="2661"/>
    </row>
    <row r="51" spans="1:76" s="448" customFormat="1" ht="12.95" customHeight="1">
      <c r="A51" s="433"/>
      <c r="B51" s="433"/>
      <c r="C51" s="433"/>
      <c r="D51" s="433"/>
      <c r="E51" s="2662" t="s">
        <v>2042</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34932930</v>
      </c>
      <c r="AC54" s="2633"/>
      <c r="AD54" s="2633"/>
      <c r="AE54" s="2633"/>
      <c r="AF54" s="2634"/>
    </row>
    <row r="55" spans="1:76" ht="12.95" customHeight="1">
      <c r="D55" s="435" t="s">
        <v>334</v>
      </c>
      <c r="AB55" s="2632">
        <f>(AB54/10)</f>
        <v>3493293</v>
      </c>
      <c r="AC55" s="2633"/>
      <c r="AD55" s="2633"/>
      <c r="AE55" s="2633"/>
      <c r="AF55" s="2634"/>
    </row>
    <row r="56" spans="1:76" ht="12.95" customHeight="1">
      <c r="D56" s="435" t="s">
        <v>766</v>
      </c>
      <c r="AB56" s="2663">
        <f>(IF((Y41&lt;AB55),Y41,AB55))</f>
        <v>3493293</v>
      </c>
      <c r="AC56" s="2664"/>
      <c r="AD56" s="2664"/>
      <c r="AE56" s="2664"/>
      <c r="AF56" s="2665"/>
    </row>
    <row r="57" spans="1:76" ht="12.95" customHeight="1">
      <c r="D57" s="435" t="s">
        <v>765</v>
      </c>
      <c r="AB57" s="2632">
        <f>ROUND((10*AB56*AB50),0)</f>
        <v>31574537</v>
      </c>
      <c r="AC57" s="2633"/>
      <c r="AD57" s="2633"/>
      <c r="AE57" s="2633"/>
      <c r="AF57" s="2634"/>
    </row>
    <row r="58" spans="1:76" ht="12.95" customHeight="1">
      <c r="D58" s="435"/>
      <c r="AB58" s="454"/>
      <c r="AC58" s="454"/>
      <c r="AD58" s="454"/>
      <c r="AE58" s="454"/>
      <c r="AF58" s="454"/>
    </row>
    <row r="59" spans="1:76" ht="12.95" customHeight="1">
      <c r="D59" s="435" t="s">
        <v>764</v>
      </c>
      <c r="AB59" s="2655">
        <f>AB49-AB57</f>
        <v>0</v>
      </c>
      <c r="AC59" s="2655"/>
      <c r="AD59" s="2655"/>
      <c r="AE59" s="2655"/>
      <c r="AF59" s="2655"/>
    </row>
    <row r="60" spans="1:76" ht="12.95" customHeight="1">
      <c r="D60" s="435"/>
      <c r="AB60" s="454"/>
      <c r="AC60" s="454"/>
      <c r="AD60" s="454"/>
      <c r="AE60" s="454"/>
      <c r="AF60" s="454"/>
    </row>
    <row r="61" spans="1:76" s="218" customFormat="1" ht="12.9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2.95" customHeight="1" thickTop="1"/>
    <row r="63" spans="1:76" ht="12.95" customHeight="1">
      <c r="A63" s="435" t="s">
        <v>598</v>
      </c>
      <c r="C63" s="219" t="s">
        <v>1358</v>
      </c>
      <c r="Y63" s="2656" t="s">
        <v>1004</v>
      </c>
      <c r="Z63" s="2656"/>
      <c r="AA63" s="2656"/>
      <c r="AB63" s="2656"/>
      <c r="AC63" s="2656"/>
      <c r="AD63" s="2656" t="s">
        <v>370</v>
      </c>
      <c r="AE63" s="2656"/>
      <c r="AF63" s="2656"/>
      <c r="AG63" s="2656"/>
      <c r="AH63" s="2656"/>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67178715</v>
      </c>
      <c r="Z64" s="2657"/>
      <c r="AA64" s="2657"/>
      <c r="AB64" s="2657"/>
      <c r="AC64" s="2658"/>
      <c r="AD64" s="2617">
        <f>IF(AND(OR(Application!D211="At-Risk",Application!D211="At-Risk and Special Needs"),Application!M358="yes"),AD28+AI28,0)</f>
        <v>0</v>
      </c>
      <c r="AE64" s="2657"/>
      <c r="AF64" s="2657"/>
      <c r="AG64" s="2657"/>
      <c r="AH64" s="2658"/>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2.95" customHeight="1">
      <c r="C68" s="435"/>
      <c r="D68" s="219" t="s">
        <v>1360</v>
      </c>
      <c r="Y68" s="2616">
        <f>ROUND(Y64*Y67,0)</f>
        <v>20153615</v>
      </c>
      <c r="Z68" s="2674"/>
      <c r="AA68" s="2674"/>
      <c r="AB68" s="2674"/>
      <c r="AC68" s="2674"/>
      <c r="AD68" s="2616">
        <f>ROUND(AD64*AD67,0)</f>
        <v>0</v>
      </c>
      <c r="AE68" s="2674"/>
      <c r="AF68" s="2674"/>
      <c r="AG68" s="2674"/>
      <c r="AH68" s="2674"/>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9"/>
      <c r="AC71" s="2660"/>
      <c r="AD71" s="2660"/>
      <c r="AE71" s="2660"/>
      <c r="AF71" s="2661"/>
    </row>
    <row r="72" spans="1:36" ht="12.95" customHeight="1">
      <c r="A72" s="435"/>
      <c r="C72" s="435"/>
      <c r="D72" s="435"/>
      <c r="E72" s="2675" t="s">
        <v>1362</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2.95"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2.9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8">
        <f>ROUND(IF(ISERROR((AB59/AB71)),0,(AB59/AB71)),0)</f>
        <v>0</v>
      </c>
      <c r="AC76" s="2668"/>
      <c r="AD76" s="2668"/>
      <c r="AE76" s="2668"/>
      <c r="AF76" s="2668"/>
    </row>
    <row r="77" spans="1:36" ht="12.95" customHeight="1">
      <c r="C77" s="435"/>
      <c r="D77" s="219" t="s">
        <v>1364</v>
      </c>
      <c r="AB77" s="2669">
        <f>IF((Y68+AD68&lt;AB76),Y68+AD68,AB76)</f>
        <v>0</v>
      </c>
      <c r="AC77" s="2670"/>
      <c r="AD77" s="2670"/>
      <c r="AE77" s="2670"/>
      <c r="AF77" s="2671"/>
    </row>
    <row r="78" spans="1:36" ht="12.95" customHeight="1">
      <c r="C78" s="435"/>
      <c r="D78" s="219" t="s">
        <v>1365</v>
      </c>
      <c r="AB78" s="2672">
        <f>AB77*AB71</f>
        <v>0</v>
      </c>
      <c r="AC78" s="2672"/>
      <c r="AD78" s="2672"/>
      <c r="AE78" s="2672"/>
      <c r="AF78" s="2672"/>
    </row>
    <row r="79" spans="1:36" ht="12.95" customHeight="1">
      <c r="C79" s="435"/>
      <c r="D79" s="435"/>
      <c r="AB79" s="456"/>
      <c r="AC79" s="456"/>
      <c r="AD79" s="456"/>
      <c r="AE79" s="456"/>
      <c r="AF79" s="456"/>
    </row>
    <row r="80" spans="1:36" ht="12.95" customHeight="1">
      <c r="D80" s="435" t="s">
        <v>764</v>
      </c>
      <c r="AB80" s="2655">
        <f>AB49-(AB57+AB78)</f>
        <v>0</v>
      </c>
      <c r="AC80" s="2655"/>
      <c r="AD80" s="2655"/>
      <c r="AE80" s="2655"/>
      <c r="AF80" s="2655"/>
    </row>
    <row r="81" spans="1:78" ht="12.95" customHeight="1">
      <c r="F81" s="556"/>
      <c r="J81" s="556" t="str">
        <f>IF(AB80&gt;0,"FUNDING GAP MUST NOT EXCEED ZERO","")</f>
        <v/>
      </c>
    </row>
    <row r="82" spans="1:78" ht="12.95" customHeight="1">
      <c r="D82" s="557"/>
    </row>
    <row r="83" spans="1:78" ht="12.95"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2.95" customHeight="1" thickTop="1"/>
    <row r="85" spans="1:78" ht="12.95" customHeight="1">
      <c r="A85" s="435"/>
      <c r="C85" s="219"/>
    </row>
    <row r="86" spans="1:78" ht="12.95" customHeight="1">
      <c r="D86" s="219"/>
      <c r="AB86" s="2621"/>
      <c r="AC86" s="2621"/>
      <c r="AD86" s="2621"/>
      <c r="AE86" s="2621"/>
      <c r="AF86" s="2621"/>
    </row>
    <row r="87" spans="1:78" ht="12.95"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3</v>
      </c>
      <c r="C4" s="1122"/>
      <c r="D4" s="459">
        <f>Application!O718</f>
        <v>354</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5</v>
      </c>
      <c r="C5" s="1122"/>
      <c r="D5" s="459">
        <f>Application!O719</f>
        <v>404</v>
      </c>
      <c r="E5" s="460"/>
      <c r="F5" s="1123"/>
      <c r="G5" s="459">
        <f t="shared" ref="G5:G38" si="2">F5*B5</f>
        <v>0</v>
      </c>
      <c r="H5" s="460"/>
      <c r="I5" s="459" t="str">
        <f t="shared" si="0"/>
        <v/>
      </c>
      <c r="J5" s="459" t="str">
        <f t="shared" si="1"/>
        <v/>
      </c>
      <c r="K5" s="218"/>
      <c r="L5" s="328"/>
    </row>
    <row r="6" spans="1:12">
      <c r="A6" s="459" t="str">
        <f>Application!B720</f>
        <v>3 Bedrooms</v>
      </c>
      <c r="B6" s="1121">
        <f>Application!G720</f>
        <v>3</v>
      </c>
      <c r="C6" s="1122"/>
      <c r="D6" s="459">
        <f>Application!O720</f>
        <v>449</v>
      </c>
      <c r="E6" s="460"/>
      <c r="F6" s="1123"/>
      <c r="G6" s="459">
        <f t="shared" si="2"/>
        <v>0</v>
      </c>
      <c r="H6" s="460"/>
      <c r="I6" s="459" t="str">
        <f t="shared" si="0"/>
        <v/>
      </c>
      <c r="J6" s="459" t="str">
        <f t="shared" si="1"/>
        <v/>
      </c>
      <c r="K6" s="218"/>
      <c r="L6" s="328"/>
    </row>
    <row r="7" spans="1:12">
      <c r="A7" s="459" t="str">
        <f>Application!B721</f>
        <v>1 Bedroom</v>
      </c>
      <c r="B7" s="1121">
        <f>Application!G721</f>
        <v>6</v>
      </c>
      <c r="C7" s="1122"/>
      <c r="D7" s="459">
        <f>Application!O721</f>
        <v>519</v>
      </c>
      <c r="E7" s="460"/>
      <c r="F7" s="1123"/>
      <c r="G7" s="459">
        <f t="shared" si="2"/>
        <v>0</v>
      </c>
      <c r="H7" s="460"/>
      <c r="I7" s="459" t="str">
        <f t="shared" si="0"/>
        <v/>
      </c>
      <c r="J7" s="459" t="str">
        <f t="shared" si="1"/>
        <v/>
      </c>
      <c r="K7" s="218"/>
      <c r="L7" s="328"/>
    </row>
    <row r="8" spans="1:12">
      <c r="A8" s="459" t="str">
        <f>Application!B722</f>
        <v>2 Bedrooms</v>
      </c>
      <c r="B8" s="1121">
        <f>Application!G722</f>
        <v>13</v>
      </c>
      <c r="C8" s="1122"/>
      <c r="D8" s="459">
        <f>Application!O722</f>
        <v>602</v>
      </c>
      <c r="E8" s="460"/>
      <c r="F8" s="1123"/>
      <c r="G8" s="459">
        <f t="shared" si="2"/>
        <v>0</v>
      </c>
      <c r="H8" s="460"/>
      <c r="I8" s="459" t="str">
        <f t="shared" si="0"/>
        <v/>
      </c>
      <c r="J8" s="459" t="str">
        <f t="shared" si="1"/>
        <v/>
      </c>
      <c r="K8" s="218"/>
      <c r="L8" s="328"/>
    </row>
    <row r="9" spans="1:12">
      <c r="A9" s="459" t="str">
        <f>Application!B723</f>
        <v>3 Bedrooms</v>
      </c>
      <c r="B9" s="1121">
        <f>Application!G723</f>
        <v>6</v>
      </c>
      <c r="C9" s="1122"/>
      <c r="D9" s="459">
        <f>Application!O723</f>
        <v>677</v>
      </c>
      <c r="E9" s="460"/>
      <c r="F9" s="1123"/>
      <c r="G9" s="459">
        <f t="shared" si="2"/>
        <v>0</v>
      </c>
      <c r="H9" s="460"/>
      <c r="I9" s="459" t="str">
        <f t="shared" si="0"/>
        <v/>
      </c>
      <c r="J9" s="459" t="str">
        <f t="shared" si="1"/>
        <v/>
      </c>
      <c r="K9" s="218"/>
      <c r="L9" s="328"/>
    </row>
    <row r="10" spans="1:12">
      <c r="A10" s="459" t="str">
        <f>Application!B724</f>
        <v>1 Bedroom</v>
      </c>
      <c r="B10" s="1121">
        <f>Application!G724</f>
        <v>9</v>
      </c>
      <c r="C10" s="1122"/>
      <c r="D10" s="459">
        <f>Application!O724</f>
        <v>683</v>
      </c>
      <c r="E10" s="460"/>
      <c r="F10" s="1123"/>
      <c r="G10" s="459">
        <f t="shared" si="2"/>
        <v>0</v>
      </c>
      <c r="H10" s="460"/>
      <c r="I10" s="459" t="str">
        <f t="shared" si="0"/>
        <v/>
      </c>
      <c r="J10" s="459" t="str">
        <f t="shared" si="1"/>
        <v/>
      </c>
      <c r="K10" s="218"/>
      <c r="L10" s="328"/>
    </row>
    <row r="11" spans="1:12">
      <c r="A11" s="459" t="str">
        <f>Application!B725</f>
        <v>2 Bedrooms</v>
      </c>
      <c r="B11" s="1121">
        <f>Application!G725</f>
        <v>21</v>
      </c>
      <c r="C11" s="1122"/>
      <c r="D11" s="459">
        <f>Application!O725</f>
        <v>799</v>
      </c>
      <c r="E11" s="460"/>
      <c r="F11" s="1123"/>
      <c r="G11" s="459">
        <f t="shared" si="2"/>
        <v>0</v>
      </c>
      <c r="H11" s="460"/>
      <c r="I11" s="459" t="str">
        <f t="shared" si="0"/>
        <v/>
      </c>
      <c r="J11" s="459" t="str">
        <f t="shared" si="1"/>
        <v/>
      </c>
      <c r="K11" s="218"/>
      <c r="L11" s="328"/>
    </row>
    <row r="12" spans="1:12">
      <c r="A12" s="459" t="str">
        <f>Application!B726</f>
        <v>3 Bedrooms</v>
      </c>
      <c r="B12" s="1121">
        <f>Application!G726</f>
        <v>10</v>
      </c>
      <c r="C12" s="1122"/>
      <c r="D12" s="459">
        <f>Application!O726</f>
        <v>905</v>
      </c>
      <c r="E12" s="460"/>
      <c r="F12" s="1123"/>
      <c r="G12" s="459">
        <f t="shared" si="2"/>
        <v>0</v>
      </c>
      <c r="H12" s="460"/>
      <c r="I12" s="459" t="str">
        <f t="shared" si="0"/>
        <v/>
      </c>
      <c r="J12" s="459" t="str">
        <f t="shared" si="1"/>
        <v/>
      </c>
      <c r="K12" s="218"/>
      <c r="L12" s="328"/>
    </row>
    <row r="13" spans="1:12">
      <c r="A13" s="459" t="str">
        <f>Application!B727</f>
        <v>1 Bedroom</v>
      </c>
      <c r="B13" s="1121">
        <f>Application!G727</f>
        <v>6</v>
      </c>
      <c r="C13" s="1122"/>
      <c r="D13" s="459">
        <f>Application!O727</f>
        <v>848</v>
      </c>
      <c r="E13" s="460"/>
      <c r="F13" s="1123"/>
      <c r="G13" s="459">
        <f t="shared" si="2"/>
        <v>0</v>
      </c>
      <c r="H13" s="460"/>
      <c r="I13" s="459" t="str">
        <f t="shared" si="0"/>
        <v/>
      </c>
      <c r="J13" s="459" t="str">
        <f t="shared" si="1"/>
        <v/>
      </c>
      <c r="K13" s="218"/>
      <c r="L13" s="328"/>
    </row>
    <row r="14" spans="1:12">
      <c r="A14" s="459" t="str">
        <f>Application!B728</f>
        <v>2 Bedrooms</v>
      </c>
      <c r="B14" s="1121">
        <f>Application!G728</f>
        <v>11</v>
      </c>
      <c r="C14" s="1122"/>
      <c r="D14" s="459">
        <f>Application!O728</f>
        <v>997</v>
      </c>
      <c r="E14" s="460"/>
      <c r="F14" s="1123"/>
      <c r="G14" s="459">
        <f t="shared" si="2"/>
        <v>0</v>
      </c>
      <c r="H14" s="460"/>
      <c r="I14" s="459" t="str">
        <f t="shared" si="0"/>
        <v/>
      </c>
      <c r="J14" s="459" t="str">
        <f t="shared" si="1"/>
        <v/>
      </c>
      <c r="K14" s="218"/>
      <c r="L14" s="328"/>
    </row>
    <row r="15" spans="1:12">
      <c r="A15" s="459" t="str">
        <f>Application!B729</f>
        <v>3 Bedrooms</v>
      </c>
      <c r="B15" s="1121">
        <f>Application!G729</f>
        <v>6</v>
      </c>
      <c r="C15" s="1122"/>
      <c r="D15" s="459">
        <f>Application!O729</f>
        <v>1133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74260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E60" sqref="AE6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891120</v>
      </c>
      <c r="G4" s="235">
        <f>E4*$C$4</f>
        <v>913397.99999999988</v>
      </c>
      <c r="I4" s="235">
        <f>G4*$C$4</f>
        <v>936232.94999999984</v>
      </c>
      <c r="K4" s="235">
        <f>I4*$C$4</f>
        <v>959638.7737499997</v>
      </c>
      <c r="M4" s="235">
        <f>K4*$C$4</f>
        <v>983629.74309374962</v>
      </c>
      <c r="O4" s="235">
        <f>M4*$C$4</f>
        <v>1008220.4866710933</v>
      </c>
      <c r="Q4" s="235">
        <f>O4*$C$4</f>
        <v>1033425.9988378705</v>
      </c>
      <c r="S4" s="235">
        <f>Q4*$C$4</f>
        <v>1059261.6488088171</v>
      </c>
      <c r="U4" s="235">
        <f>S4*$C$4</f>
        <v>1085743.1900290374</v>
      </c>
      <c r="W4" s="235">
        <f>U4*$C$4</f>
        <v>1112886.7697797632</v>
      </c>
      <c r="Y4" s="235">
        <f>W4*$C$4</f>
        <v>1140708.9390242572</v>
      </c>
      <c r="AA4" s="235">
        <f>Y4*$C$4</f>
        <v>1169226.6624998637</v>
      </c>
      <c r="AC4" s="235">
        <f>AA4*$C$4</f>
        <v>1198457.3290623601</v>
      </c>
      <c r="AE4" s="235">
        <f>AC4*$C$4</f>
        <v>1228418.762288919</v>
      </c>
      <c r="AG4" s="235">
        <f>AE4*$C$4</f>
        <v>1259129.2313461418</v>
      </c>
    </row>
    <row r="5" spans="1:34" s="225" customFormat="1" ht="14.25">
      <c r="B5" s="225" t="s">
        <v>850</v>
      </c>
      <c r="C5" s="254">
        <f>IF(Application!$D$211="Special Needs",0.1,0.05)</f>
        <v>0.05</v>
      </c>
      <c r="E5" s="237">
        <f>-E4*$C$5</f>
        <v>-44556</v>
      </c>
      <c r="F5" s="237"/>
      <c r="G5" s="237">
        <f>-G4*$C$5</f>
        <v>-45669.899999999994</v>
      </c>
      <c r="H5" s="237"/>
      <c r="I5" s="237">
        <f>-I4*$C$5</f>
        <v>-46811.647499999992</v>
      </c>
      <c r="J5" s="237"/>
      <c r="K5" s="237">
        <f>-K4*$C$5</f>
        <v>-47981.938687499991</v>
      </c>
      <c r="L5" s="237"/>
      <c r="M5" s="237">
        <f>-M4*$C$5</f>
        <v>-49181.487154687486</v>
      </c>
      <c r="N5" s="237"/>
      <c r="O5" s="237">
        <f>-O4*$C$5</f>
        <v>-50411.024333554669</v>
      </c>
      <c r="P5" s="237"/>
      <c r="Q5" s="237">
        <f>-Q4*$C$5</f>
        <v>-51671.299941893529</v>
      </c>
      <c r="R5" s="237"/>
      <c r="S5" s="237">
        <f>-S4*$C$5</f>
        <v>-52963.082440440863</v>
      </c>
      <c r="T5" s="237"/>
      <c r="U5" s="237">
        <f>-U4*$C$5</f>
        <v>-54287.159501451875</v>
      </c>
      <c r="V5" s="237"/>
      <c r="W5" s="237">
        <f>-W4*$C$5</f>
        <v>-55644.338488988164</v>
      </c>
      <c r="X5" s="237"/>
      <c r="Y5" s="237">
        <f>-Y4*$C$5</f>
        <v>-57035.446951212863</v>
      </c>
      <c r="Z5" s="237"/>
      <c r="AA5" s="237">
        <f>-AA4*$C$5</f>
        <v>-58461.333124993187</v>
      </c>
      <c r="AB5" s="237"/>
      <c r="AC5" s="237">
        <f>-AC4*$C$5</f>
        <v>-59922.866453118011</v>
      </c>
      <c r="AD5" s="237"/>
      <c r="AE5" s="237">
        <f>-AE4*$C$5</f>
        <v>-61420.938114445948</v>
      </c>
      <c r="AF5" s="237"/>
      <c r="AG5" s="237">
        <f>-AG4*$C$5</f>
        <v>-62956.461567307095</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6000</v>
      </c>
      <c r="F8" s="238"/>
      <c r="G8" s="238">
        <f>E8*$C$8</f>
        <v>6149.9999999999991</v>
      </c>
      <c r="H8" s="238"/>
      <c r="I8" s="238">
        <f>G8*$C$8</f>
        <v>6303.7499999999982</v>
      </c>
      <c r="J8" s="238"/>
      <c r="K8" s="238">
        <f>I8*$C$8</f>
        <v>6461.3437499999973</v>
      </c>
      <c r="L8" s="238"/>
      <c r="M8" s="238">
        <f>K8*$C$8</f>
        <v>6622.8773437499967</v>
      </c>
      <c r="N8" s="238"/>
      <c r="O8" s="238">
        <f>M8*$C$8</f>
        <v>6788.449277343746</v>
      </c>
      <c r="P8" s="238"/>
      <c r="Q8" s="238">
        <f>O8*$C$8</f>
        <v>6958.1605092773389</v>
      </c>
      <c r="R8" s="238"/>
      <c r="S8" s="238">
        <f>Q8*$C$8</f>
        <v>7132.1145220092722</v>
      </c>
      <c r="T8" s="238"/>
      <c r="U8" s="238">
        <f>S8*$C$8</f>
        <v>7310.4173850595034</v>
      </c>
      <c r="V8" s="238"/>
      <c r="W8" s="238">
        <f>U8*$C$8</f>
        <v>7493.1778196859905</v>
      </c>
      <c r="X8" s="238"/>
      <c r="Y8" s="238">
        <f>W8*$C$8</f>
        <v>7680.5072651781393</v>
      </c>
      <c r="Z8" s="238"/>
      <c r="AA8" s="238">
        <f>Y8*$C$8</f>
        <v>7872.5199468075916</v>
      </c>
      <c r="AB8" s="238"/>
      <c r="AC8" s="238">
        <f>AA8*$C$8</f>
        <v>8069.3329454777804</v>
      </c>
      <c r="AD8" s="238"/>
      <c r="AE8" s="238">
        <f>AC8*$C$8</f>
        <v>8271.0662691147245</v>
      </c>
      <c r="AF8" s="238"/>
      <c r="AG8" s="238">
        <f>AE8*$C$8</f>
        <v>8477.8429258425913</v>
      </c>
    </row>
    <row r="9" spans="1:34" s="225" customFormat="1" ht="14.25">
      <c r="B9" s="225" t="s">
        <v>850</v>
      </c>
      <c r="C9" s="254">
        <f>IF(Application!$D$211="Special Needs",0.1,0.05)</f>
        <v>0.05</v>
      </c>
      <c r="E9" s="237">
        <f>-E8*$C$9</f>
        <v>-300</v>
      </c>
      <c r="F9" s="237"/>
      <c r="G9" s="237">
        <f>-G8*$C$9</f>
        <v>-307.5</v>
      </c>
      <c r="H9" s="237"/>
      <c r="I9" s="237">
        <f>-I8*$C$9</f>
        <v>-315.18749999999994</v>
      </c>
      <c r="J9" s="237"/>
      <c r="K9" s="237">
        <f>-K8*$C$9</f>
        <v>-323.06718749999987</v>
      </c>
      <c r="L9" s="237"/>
      <c r="M9" s="237">
        <f>-M8*$C$9</f>
        <v>-331.14386718749984</v>
      </c>
      <c r="N9" s="237"/>
      <c r="O9" s="237">
        <f>-O8*$C$9</f>
        <v>-339.42246386718733</v>
      </c>
      <c r="P9" s="237"/>
      <c r="Q9" s="237">
        <f>-Q8*$C$9</f>
        <v>-347.90802546386698</v>
      </c>
      <c r="R9" s="237"/>
      <c r="S9" s="237">
        <f>-S8*$C$9</f>
        <v>-356.60572610046364</v>
      </c>
      <c r="T9" s="237"/>
      <c r="U9" s="237">
        <f>-U8*$C$9</f>
        <v>-365.52086925297522</v>
      </c>
      <c r="V9" s="237"/>
      <c r="W9" s="237">
        <f>-W8*$C$9</f>
        <v>-374.65889098429955</v>
      </c>
      <c r="X9" s="237"/>
      <c r="Y9" s="237">
        <f>-Y8*$C$9</f>
        <v>-384.02536325890696</v>
      </c>
      <c r="Z9" s="237"/>
      <c r="AA9" s="237">
        <f>-AA8*$C$9</f>
        <v>-393.62599734037963</v>
      </c>
      <c r="AB9" s="237"/>
      <c r="AC9" s="237">
        <f>-AC8*$C$9</f>
        <v>-403.46664727388907</v>
      </c>
      <c r="AD9" s="237"/>
      <c r="AE9" s="237">
        <f>-AE8*$C$9</f>
        <v>-413.55331345573626</v>
      </c>
      <c r="AF9" s="237"/>
      <c r="AG9" s="237">
        <f>-AG8*$C$9</f>
        <v>-423.89214629212961</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852264</v>
      </c>
      <c r="G11" s="239">
        <f>SUM(G4:G10)</f>
        <v>873570.59999999986</v>
      </c>
      <c r="I11" s="239">
        <f>SUM(I4:I10)</f>
        <v>895409.86499999987</v>
      </c>
      <c r="K11" s="239">
        <f>SUM(K4:K10)</f>
        <v>917795.11162499979</v>
      </c>
      <c r="M11" s="239">
        <f>SUM(M4:M10)</f>
        <v>940739.98941562453</v>
      </c>
      <c r="O11" s="239">
        <f>SUM(O4:O10)</f>
        <v>964258.48915101506</v>
      </c>
      <c r="Q11" s="239">
        <f>SUM(Q4:Q10)</f>
        <v>988364.95137979055</v>
      </c>
      <c r="S11" s="239">
        <f>SUM(S4:S10)</f>
        <v>1013074.075164285</v>
      </c>
      <c r="U11" s="239">
        <f>SUM(U4:U10)</f>
        <v>1038400.9270433921</v>
      </c>
      <c r="W11" s="239">
        <f>SUM(W4:W10)</f>
        <v>1064360.9502194768</v>
      </c>
      <c r="Y11" s="239">
        <f>SUM(Y4:Y10)</f>
        <v>1090969.9739749637</v>
      </c>
      <c r="AA11" s="239">
        <f>SUM(AA4:AA10)</f>
        <v>1118244.2233243377</v>
      </c>
      <c r="AC11" s="239">
        <f>SUM(AC4:AC10)</f>
        <v>1146200.328907446</v>
      </c>
      <c r="AE11" s="239">
        <f>SUM(AE4:AE10)</f>
        <v>1174855.3371301319</v>
      </c>
      <c r="AG11" s="239">
        <f>SUM(AG4:AG10)</f>
        <v>1204226.7205583851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150000</v>
      </c>
      <c r="G15" s="235">
        <f>E15*$C$14</f>
        <v>155250</v>
      </c>
      <c r="I15" s="235">
        <f>G15*$C$14</f>
        <v>160683.75</v>
      </c>
      <c r="K15" s="235">
        <f>I15*$C$14</f>
        <v>166307.68124999999</v>
      </c>
      <c r="M15" s="235">
        <f>K15*$C$14</f>
        <v>172128.45009374997</v>
      </c>
      <c r="O15" s="235">
        <f>M15*$C$14</f>
        <v>178152.94584703119</v>
      </c>
      <c r="Q15" s="235">
        <f>O15*$C$14</f>
        <v>184388.29895167728</v>
      </c>
      <c r="S15" s="235">
        <f>Q15*$C$14</f>
        <v>190841.88941498596</v>
      </c>
      <c r="U15" s="235">
        <f>S15*$C$14</f>
        <v>197521.35554451044</v>
      </c>
      <c r="W15" s="235">
        <f>U15*$C$14</f>
        <v>204434.60298856828</v>
      </c>
      <c r="Y15" s="235">
        <f>W15*$C$14</f>
        <v>211589.81409316816</v>
      </c>
      <c r="AA15" s="235">
        <f>Y15*$C$14</f>
        <v>218995.45758642902</v>
      </c>
      <c r="AC15" s="235">
        <f>AA15*$C$14</f>
        <v>226660.29860195401</v>
      </c>
      <c r="AE15" s="235">
        <f>AC15*$C$14</f>
        <v>234593.40905302239</v>
      </c>
      <c r="AG15" s="235">
        <f>AE15*$C$14</f>
        <v>242804.17836987815</v>
      </c>
    </row>
    <row r="16" spans="1:34" s="225" customFormat="1" ht="14.25">
      <c r="A16" s="225" t="s">
        <v>345</v>
      </c>
      <c r="C16" s="249"/>
      <c r="E16" s="238">
        <f>Application!W849</f>
        <v>88200</v>
      </c>
      <c r="F16" s="238"/>
      <c r="G16" s="238">
        <f t="shared" ref="G16:AG21" si="0">E16*$C$14</f>
        <v>91287</v>
      </c>
      <c r="H16" s="238"/>
      <c r="I16" s="238">
        <f t="shared" si="0"/>
        <v>94482.044999999998</v>
      </c>
      <c r="J16" s="238"/>
      <c r="K16" s="238">
        <f t="shared" si="0"/>
        <v>97788.916574999996</v>
      </c>
      <c r="L16" s="238"/>
      <c r="M16" s="238">
        <f t="shared" si="0"/>
        <v>101211.52865512499</v>
      </c>
      <c r="N16" s="238"/>
      <c r="O16" s="238">
        <f t="shared" si="0"/>
        <v>104753.93215805436</v>
      </c>
      <c r="P16" s="238"/>
      <c r="Q16" s="238">
        <f t="shared" si="0"/>
        <v>108420.31978358625</v>
      </c>
      <c r="R16" s="238"/>
      <c r="S16" s="238">
        <f t="shared" si="0"/>
        <v>112215.03097601177</v>
      </c>
      <c r="T16" s="238"/>
      <c r="U16" s="238">
        <f t="shared" si="0"/>
        <v>116142.55706017217</v>
      </c>
      <c r="V16" s="238"/>
      <c r="W16" s="238">
        <f t="shared" si="0"/>
        <v>120207.54655727818</v>
      </c>
      <c r="X16" s="238"/>
      <c r="Y16" s="238">
        <f t="shared" si="0"/>
        <v>124414.8106867829</v>
      </c>
      <c r="Z16" s="238"/>
      <c r="AA16" s="238">
        <f t="shared" si="0"/>
        <v>128769.3290608203</v>
      </c>
      <c r="AB16" s="238"/>
      <c r="AC16" s="238">
        <f t="shared" si="0"/>
        <v>133276.25557794899</v>
      </c>
      <c r="AD16" s="238"/>
      <c r="AE16" s="238">
        <f t="shared" si="0"/>
        <v>137940.92452317721</v>
      </c>
      <c r="AF16" s="238"/>
      <c r="AG16" s="238">
        <f t="shared" si="0"/>
        <v>142768.85688148841</v>
      </c>
    </row>
    <row r="17" spans="1:33" s="225" customFormat="1" ht="14.25">
      <c r="A17" s="225" t="s">
        <v>570</v>
      </c>
      <c r="C17" s="249"/>
      <c r="E17" s="238">
        <f>Application!W855</f>
        <v>75000</v>
      </c>
      <c r="F17" s="238"/>
      <c r="G17" s="238">
        <f t="shared" si="0"/>
        <v>77625</v>
      </c>
      <c r="H17" s="238"/>
      <c r="I17" s="238">
        <f t="shared" si="0"/>
        <v>80341.875</v>
      </c>
      <c r="J17" s="238"/>
      <c r="K17" s="238">
        <f t="shared" si="0"/>
        <v>83153.840624999997</v>
      </c>
      <c r="L17" s="238"/>
      <c r="M17" s="238">
        <f t="shared" si="0"/>
        <v>86064.225046874984</v>
      </c>
      <c r="N17" s="238"/>
      <c r="O17" s="238">
        <f t="shared" si="0"/>
        <v>89076.472923515597</v>
      </c>
      <c r="P17" s="238"/>
      <c r="Q17" s="238">
        <f t="shared" si="0"/>
        <v>92194.14947583864</v>
      </c>
      <c r="R17" s="238"/>
      <c r="S17" s="238">
        <f t="shared" si="0"/>
        <v>95420.944707492978</v>
      </c>
      <c r="T17" s="238"/>
      <c r="U17" s="238">
        <f t="shared" si="0"/>
        <v>98760.677772255221</v>
      </c>
      <c r="V17" s="238"/>
      <c r="W17" s="238">
        <f t="shared" si="0"/>
        <v>102217.30149428414</v>
      </c>
      <c r="X17" s="238"/>
      <c r="Y17" s="238">
        <f t="shared" si="0"/>
        <v>105794.90704658408</v>
      </c>
      <c r="Z17" s="238"/>
      <c r="AA17" s="238">
        <f t="shared" si="0"/>
        <v>109497.72879321451</v>
      </c>
      <c r="AB17" s="238"/>
      <c r="AC17" s="238">
        <f t="shared" si="0"/>
        <v>113330.14930097701</v>
      </c>
      <c r="AD17" s="238"/>
      <c r="AE17" s="238">
        <f t="shared" si="0"/>
        <v>117296.7045265112</v>
      </c>
      <c r="AF17" s="238"/>
      <c r="AG17" s="238">
        <f t="shared" si="0"/>
        <v>121402.08918493908</v>
      </c>
    </row>
    <row r="18" spans="1:33" s="225" customFormat="1" ht="14.25">
      <c r="A18" s="225" t="s">
        <v>854</v>
      </c>
      <c r="C18" s="249"/>
      <c r="E18" s="238">
        <f>Application!W862</f>
        <v>81500</v>
      </c>
      <c r="F18" s="238"/>
      <c r="G18" s="238">
        <f t="shared" si="0"/>
        <v>84352.5</v>
      </c>
      <c r="H18" s="238"/>
      <c r="I18" s="238">
        <f t="shared" si="0"/>
        <v>87304.837499999994</v>
      </c>
      <c r="J18" s="238"/>
      <c r="K18" s="238">
        <f t="shared" si="0"/>
        <v>90360.506812499982</v>
      </c>
      <c r="L18" s="238"/>
      <c r="M18" s="238">
        <f t="shared" si="0"/>
        <v>93523.124550937471</v>
      </c>
      <c r="N18" s="238"/>
      <c r="O18" s="238">
        <f t="shared" si="0"/>
        <v>96796.433910220279</v>
      </c>
      <c r="P18" s="238"/>
      <c r="Q18" s="238">
        <f t="shared" si="0"/>
        <v>100184.30909707799</v>
      </c>
      <c r="R18" s="238"/>
      <c r="S18" s="238">
        <f t="shared" si="0"/>
        <v>103690.7599154757</v>
      </c>
      <c r="T18" s="238"/>
      <c r="U18" s="238">
        <f t="shared" si="0"/>
        <v>107319.93651251735</v>
      </c>
      <c r="V18" s="238"/>
      <c r="W18" s="238">
        <f t="shared" si="0"/>
        <v>111076.13429045545</v>
      </c>
      <c r="X18" s="238"/>
      <c r="Y18" s="238">
        <f t="shared" si="0"/>
        <v>114963.79899062138</v>
      </c>
      <c r="Z18" s="238"/>
      <c r="AA18" s="238">
        <f t="shared" si="0"/>
        <v>118987.53195529312</v>
      </c>
      <c r="AB18" s="238"/>
      <c r="AC18" s="238">
        <f t="shared" si="0"/>
        <v>123152.09557372837</v>
      </c>
      <c r="AD18" s="238"/>
      <c r="AE18" s="238">
        <f t="shared" si="0"/>
        <v>127462.41891880885</v>
      </c>
      <c r="AF18" s="238"/>
      <c r="AG18" s="238">
        <f t="shared" si="0"/>
        <v>131923.60358096714</v>
      </c>
    </row>
    <row r="19" spans="1:33" s="225" customFormat="1" ht="14.25">
      <c r="A19" s="225" t="s">
        <v>155</v>
      </c>
      <c r="C19" s="249"/>
      <c r="E19" s="238">
        <f>Application!W863</f>
        <v>105000</v>
      </c>
      <c r="F19" s="238"/>
      <c r="G19" s="238">
        <f t="shared" si="0"/>
        <v>108674.99999999999</v>
      </c>
      <c r="H19" s="238"/>
      <c r="I19" s="238">
        <f t="shared" si="0"/>
        <v>112478.62499999997</v>
      </c>
      <c r="J19" s="238"/>
      <c r="K19" s="238">
        <f t="shared" si="0"/>
        <v>116415.37687499996</v>
      </c>
      <c r="L19" s="238"/>
      <c r="M19" s="238">
        <f t="shared" si="0"/>
        <v>120489.91506562494</v>
      </c>
      <c r="N19" s="238"/>
      <c r="O19" s="238">
        <f t="shared" si="0"/>
        <v>124707.0620929218</v>
      </c>
      <c r="P19" s="238"/>
      <c r="Q19" s="238">
        <f t="shared" si="0"/>
        <v>129071.80926617405</v>
      </c>
      <c r="R19" s="238"/>
      <c r="S19" s="238">
        <f t="shared" si="0"/>
        <v>133589.32259049013</v>
      </c>
      <c r="T19" s="238"/>
      <c r="U19" s="238">
        <f t="shared" si="0"/>
        <v>138264.94888115727</v>
      </c>
      <c r="V19" s="238"/>
      <c r="W19" s="238">
        <f t="shared" si="0"/>
        <v>143104.22209199777</v>
      </c>
      <c r="X19" s="238"/>
      <c r="Y19" s="238">
        <f t="shared" si="0"/>
        <v>148112.86986521768</v>
      </c>
      <c r="Z19" s="238"/>
      <c r="AA19" s="238">
        <f t="shared" si="0"/>
        <v>153296.82031050028</v>
      </c>
      <c r="AB19" s="238"/>
      <c r="AC19" s="238">
        <f t="shared" si="0"/>
        <v>158662.20902136777</v>
      </c>
      <c r="AD19" s="238"/>
      <c r="AE19" s="238">
        <f t="shared" si="0"/>
        <v>164215.38633711563</v>
      </c>
      <c r="AF19" s="238"/>
      <c r="AG19" s="238">
        <f t="shared" si="0"/>
        <v>169962.92485891466</v>
      </c>
    </row>
    <row r="20" spans="1:33" s="225" customFormat="1" ht="14.25">
      <c r="A20" s="225" t="s">
        <v>391</v>
      </c>
      <c r="C20" s="249"/>
      <c r="E20" s="238">
        <f>Application!W872</f>
        <v>100000</v>
      </c>
      <c r="F20" s="238"/>
      <c r="G20" s="238">
        <f t="shared" si="0"/>
        <v>103499.99999999999</v>
      </c>
      <c r="H20" s="238"/>
      <c r="I20" s="238">
        <f t="shared" si="0"/>
        <v>107122.49999999997</v>
      </c>
      <c r="J20" s="238"/>
      <c r="K20" s="238">
        <f t="shared" si="0"/>
        <v>110871.78749999996</v>
      </c>
      <c r="L20" s="238"/>
      <c r="M20" s="238">
        <f t="shared" si="0"/>
        <v>114752.30006249995</v>
      </c>
      <c r="N20" s="238"/>
      <c r="O20" s="238">
        <f t="shared" si="0"/>
        <v>118768.63056468744</v>
      </c>
      <c r="P20" s="238"/>
      <c r="Q20" s="238">
        <f t="shared" si="0"/>
        <v>122925.53263445149</v>
      </c>
      <c r="R20" s="238"/>
      <c r="S20" s="238">
        <f t="shared" si="0"/>
        <v>127227.92627665728</v>
      </c>
      <c r="T20" s="238"/>
      <c r="U20" s="238">
        <f t="shared" si="0"/>
        <v>131680.90369634028</v>
      </c>
      <c r="V20" s="238"/>
      <c r="W20" s="238">
        <f t="shared" si="0"/>
        <v>136289.73532571219</v>
      </c>
      <c r="X20" s="238"/>
      <c r="Y20" s="238">
        <f t="shared" si="0"/>
        <v>141059.8760621121</v>
      </c>
      <c r="Z20" s="238"/>
      <c r="AA20" s="238">
        <f t="shared" si="0"/>
        <v>145996.97172428601</v>
      </c>
      <c r="AB20" s="238"/>
      <c r="AC20" s="238">
        <f t="shared" si="0"/>
        <v>151106.865734636</v>
      </c>
      <c r="AD20" s="238"/>
      <c r="AE20" s="238">
        <f t="shared" si="0"/>
        <v>156395.60603534823</v>
      </c>
      <c r="AF20" s="238"/>
      <c r="AG20" s="238">
        <f t="shared" si="0"/>
        <v>161869.4522465854</v>
      </c>
    </row>
    <row r="21" spans="1:33" s="225" customFormat="1" ht="14.25">
      <c r="A21" s="242" t="s">
        <v>982</v>
      </c>
      <c r="B21" s="242"/>
      <c r="C21" s="249"/>
      <c r="E21" s="248">
        <f>Application!W879</f>
        <v>3000</v>
      </c>
      <c r="F21" s="238"/>
      <c r="G21" s="248">
        <f t="shared" si="0"/>
        <v>3104.9999999999995</v>
      </c>
      <c r="H21" s="238"/>
      <c r="I21" s="248">
        <f t="shared" si="0"/>
        <v>3213.6749999999993</v>
      </c>
      <c r="J21" s="238"/>
      <c r="K21" s="248">
        <f t="shared" si="0"/>
        <v>3326.153624999999</v>
      </c>
      <c r="L21" s="238"/>
      <c r="M21" s="248">
        <f t="shared" si="0"/>
        <v>3442.5690018749988</v>
      </c>
      <c r="N21" s="238"/>
      <c r="O21" s="248">
        <f t="shared" si="0"/>
        <v>3563.0589169406235</v>
      </c>
      <c r="P21" s="238"/>
      <c r="Q21" s="248">
        <f t="shared" si="0"/>
        <v>3687.7659790335451</v>
      </c>
      <c r="R21" s="238"/>
      <c r="S21" s="248">
        <f t="shared" si="0"/>
        <v>3816.8377882997188</v>
      </c>
      <c r="T21" s="238"/>
      <c r="U21" s="248">
        <f t="shared" si="0"/>
        <v>3950.4271108902085</v>
      </c>
      <c r="V21" s="238"/>
      <c r="W21" s="248">
        <f t="shared" si="0"/>
        <v>4088.6920597713656</v>
      </c>
      <c r="X21" s="238"/>
      <c r="Y21" s="248">
        <f t="shared" si="0"/>
        <v>4231.7962818633632</v>
      </c>
      <c r="Z21" s="238"/>
      <c r="AA21" s="248">
        <f t="shared" si="0"/>
        <v>4379.9091517285806</v>
      </c>
      <c r="AB21" s="238"/>
      <c r="AC21" s="248">
        <f t="shared" si="0"/>
        <v>4533.2059720390807</v>
      </c>
      <c r="AD21" s="238"/>
      <c r="AE21" s="248">
        <f t="shared" si="0"/>
        <v>4691.8681810604485</v>
      </c>
      <c r="AF21" s="238"/>
      <c r="AG21" s="248">
        <f t="shared" si="0"/>
        <v>4856.0835673975635</v>
      </c>
    </row>
    <row r="22" spans="1:33" s="239" customFormat="1" ht="15">
      <c r="A22" s="239" t="s">
        <v>855</v>
      </c>
      <c r="C22" s="249"/>
      <c r="E22" s="239">
        <f>SUM(E15:E21)</f>
        <v>602700</v>
      </c>
      <c r="G22" s="239">
        <f>SUM(G15:G21)</f>
        <v>623794.5</v>
      </c>
      <c r="I22" s="239">
        <f>SUM(I15:I21)</f>
        <v>645627.3075</v>
      </c>
      <c r="K22" s="239">
        <f>SUM(K15:K21)</f>
        <v>668224.26326249994</v>
      </c>
      <c r="M22" s="239">
        <f>SUM(M15:M21)</f>
        <v>691612.1124766873</v>
      </c>
      <c r="O22" s="239">
        <f>SUM(O15:O21)</f>
        <v>715818.53641337121</v>
      </c>
      <c r="Q22" s="239">
        <f>SUM(Q15:Q21)</f>
        <v>740872.18518783932</v>
      </c>
      <c r="S22" s="239">
        <f>SUM(S15:S21)</f>
        <v>766802.71166941361</v>
      </c>
      <c r="U22" s="239">
        <f>SUM(U15:U21)</f>
        <v>793640.80657784292</v>
      </c>
      <c r="W22" s="239">
        <f>SUM(W15:W21)</f>
        <v>821418.23480806733</v>
      </c>
      <c r="Y22" s="239">
        <f>SUM(Y15:Y21)</f>
        <v>850167.8730263497</v>
      </c>
      <c r="AA22" s="239">
        <f>SUM(AA15:AA21)</f>
        <v>879923.74858227174</v>
      </c>
      <c r="AC22" s="239">
        <f>SUM(AC15:AC21)</f>
        <v>910721.07978265104</v>
      </c>
      <c r="AE22" s="239">
        <f>SUM(AE15:AE21)</f>
        <v>942596.317575044</v>
      </c>
      <c r="AG22" s="239">
        <f>SUM(AG15:AG21)</f>
        <v>975587.18869017041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858</v>
      </c>
      <c r="C28" s="253"/>
      <c r="E28" s="238">
        <f>Application!AC889</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675500</v>
      </c>
      <c r="G35" s="239">
        <f>SUM(G22:G33)</f>
        <v>697392.5</v>
      </c>
      <c r="I35" s="239">
        <f>SUM(I22:I33)</f>
        <v>720051.23750000005</v>
      </c>
      <c r="K35" s="239">
        <f>SUM(K22:K33)</f>
        <v>743503.03081249993</v>
      </c>
      <c r="M35" s="239">
        <f>SUM(M22:M33)</f>
        <v>767775.63689093734</v>
      </c>
      <c r="O35" s="239">
        <f>SUM(O22:O33)</f>
        <v>792897.78418212</v>
      </c>
      <c r="Q35" s="239">
        <f>SUM(Q22:Q33)</f>
        <v>818899.20662849431</v>
      </c>
      <c r="S35" s="239">
        <f>SUM(S22:S33)</f>
        <v>845810.67886049149</v>
      </c>
      <c r="U35" s="239">
        <f>SUM(U22:U33)</f>
        <v>873664.05262060848</v>
      </c>
      <c r="W35" s="239">
        <f>SUM(W22:W33)</f>
        <v>902492.29446232971</v>
      </c>
      <c r="Y35" s="239">
        <f>SUM(Y22:Y33)</f>
        <v>932329.5247685113</v>
      </c>
      <c r="AA35" s="239">
        <f>SUM(AA22:AA33)</f>
        <v>963211.05813540891</v>
      </c>
      <c r="AC35" s="239">
        <f>SUM(AC22:AC33)</f>
        <v>995173.44517014804</v>
      </c>
      <c r="AE35" s="239">
        <f>SUM(AE22:AE33)</f>
        <v>1028254.5157511034</v>
      </c>
      <c r="AG35" s="239">
        <f>SUM(AG22:AG33)</f>
        <v>1062493.4238023919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176764</v>
      </c>
      <c r="G37" s="239">
        <f>G11-G35</f>
        <v>176178.09999999986</v>
      </c>
      <c r="I37" s="239">
        <f>I11-I35</f>
        <v>175358.62749999983</v>
      </c>
      <c r="K37" s="239">
        <f>K11-K35</f>
        <v>174292.08081249986</v>
      </c>
      <c r="M37" s="239">
        <f>M11-M35</f>
        <v>172964.35252468719</v>
      </c>
      <c r="O37" s="239">
        <f>O11-O35</f>
        <v>171360.70496889506</v>
      </c>
      <c r="Q37" s="239">
        <f>Q11-Q35</f>
        <v>169465.74475129624</v>
      </c>
      <c r="S37" s="239">
        <f>S11-S35</f>
        <v>167263.39630379353</v>
      </c>
      <c r="U37" s="239">
        <f>U11-U35</f>
        <v>164736.87442278361</v>
      </c>
      <c r="W37" s="239">
        <f>W11-W35</f>
        <v>161868.65575714712</v>
      </c>
      <c r="Y37" s="239">
        <f>Y11-Y35</f>
        <v>158640.44920645235</v>
      </c>
      <c r="AA37" s="239">
        <f>AA11-AA35</f>
        <v>155033.16518892883</v>
      </c>
      <c r="AC37" s="239">
        <f>AC11-AC35</f>
        <v>151026.88373729796</v>
      </c>
      <c r="AE37" s="239">
        <f>AE11-AE35</f>
        <v>146600.82137902849</v>
      </c>
      <c r="AG37" s="239">
        <f>AG11-AG35</f>
        <v>141733.29675599327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[1]Application!C628</f>
        <v xml:space="preserve">HCD-Joe Serna Jr. FWHG </v>
      </c>
      <c r="B40" s="242"/>
      <c r="C40" s="236"/>
      <c r="E40" s="238">
        <f>+Application!AF628</f>
        <v>44409</v>
      </c>
      <c r="F40" s="238"/>
      <c r="G40" s="238">
        <f>$E$40</f>
        <v>44409</v>
      </c>
      <c r="H40" s="238"/>
      <c r="I40" s="238">
        <f>$E$40</f>
        <v>44409</v>
      </c>
      <c r="J40" s="238"/>
      <c r="K40" s="238">
        <f>$E$40</f>
        <v>44409</v>
      </c>
      <c r="L40" s="238"/>
      <c r="M40" s="238">
        <f>$E$40</f>
        <v>44409</v>
      </c>
      <c r="N40" s="238"/>
      <c r="O40" s="238">
        <f>$E$40</f>
        <v>44409</v>
      </c>
      <c r="P40" s="238"/>
      <c r="Q40" s="238">
        <f>$E$40</f>
        <v>44409</v>
      </c>
      <c r="R40" s="238"/>
      <c r="S40" s="238">
        <f>$E$40</f>
        <v>44409</v>
      </c>
      <c r="T40" s="238"/>
      <c r="U40" s="238">
        <f>$E$40</f>
        <v>44409</v>
      </c>
      <c r="V40" s="238"/>
      <c r="W40" s="238">
        <f>$E$40</f>
        <v>44409</v>
      </c>
      <c r="X40" s="238"/>
      <c r="Y40" s="238">
        <f>$E$40</f>
        <v>44409</v>
      </c>
      <c r="Z40" s="238"/>
      <c r="AA40" s="238">
        <f>$E$40</f>
        <v>44409</v>
      </c>
      <c r="AB40" s="238"/>
      <c r="AC40" s="238">
        <f>$E$40</f>
        <v>44409</v>
      </c>
      <c r="AD40" s="238"/>
      <c r="AE40" s="238">
        <f>$E$40</f>
        <v>44409</v>
      </c>
      <c r="AF40" s="238"/>
      <c r="AG40" s="238">
        <f>$E$40</f>
        <v>44409</v>
      </c>
    </row>
    <row r="41" spans="1:33" s="225" customFormat="1" ht="14.25">
      <c r="A41" s="241" t="str">
        <f>[1]Application!C629</f>
        <v xml:space="preserve">HCD-Multifamily Housing Program </v>
      </c>
      <c r="B41" s="242"/>
      <c r="C41" s="236"/>
      <c r="E41" s="238">
        <f>+Application!AF629</f>
        <v>91442</v>
      </c>
      <c r="F41" s="238"/>
      <c r="G41" s="238">
        <f>$E$41</f>
        <v>91442</v>
      </c>
      <c r="H41" s="238"/>
      <c r="I41" s="238">
        <f>$E$41</f>
        <v>91442</v>
      </c>
      <c r="J41" s="238"/>
      <c r="K41" s="238">
        <f>$E$41</f>
        <v>91442</v>
      </c>
      <c r="L41" s="238"/>
      <c r="M41" s="238">
        <f>$E$41</f>
        <v>91442</v>
      </c>
      <c r="N41" s="238"/>
      <c r="O41" s="238">
        <f>$E$41</f>
        <v>91442</v>
      </c>
      <c r="P41" s="238"/>
      <c r="Q41" s="238">
        <f>$E$41</f>
        <v>91442</v>
      </c>
      <c r="R41" s="238"/>
      <c r="S41" s="238">
        <f>$E$41</f>
        <v>91442</v>
      </c>
      <c r="T41" s="238"/>
      <c r="U41" s="238">
        <f>$E$41</f>
        <v>91442</v>
      </c>
      <c r="V41" s="238"/>
      <c r="W41" s="238">
        <f>$E$41</f>
        <v>91442</v>
      </c>
      <c r="X41" s="238"/>
      <c r="Y41" s="238">
        <f>$E$41</f>
        <v>91442</v>
      </c>
      <c r="Z41" s="238"/>
      <c r="AA41" s="238">
        <f>$E$41</f>
        <v>91442</v>
      </c>
      <c r="AB41" s="238"/>
      <c r="AC41" s="238">
        <f>$E$41</f>
        <v>91442</v>
      </c>
      <c r="AD41" s="238"/>
      <c r="AE41" s="238">
        <f>$E$41</f>
        <v>91442</v>
      </c>
      <c r="AF41" s="238"/>
      <c r="AG41" s="238">
        <f>$E$41</f>
        <v>91442</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135851</v>
      </c>
      <c r="G43" s="239">
        <f>SUM(G40:G42)</f>
        <v>135851</v>
      </c>
      <c r="I43" s="239">
        <f>SUM(I40:I42)</f>
        <v>135851</v>
      </c>
      <c r="K43" s="239">
        <f>SUM(K40:K42)</f>
        <v>135851</v>
      </c>
      <c r="M43" s="239">
        <f>SUM(M40:M42)</f>
        <v>135851</v>
      </c>
      <c r="O43" s="239">
        <f>SUM(O40:O42)</f>
        <v>135851</v>
      </c>
      <c r="Q43" s="239">
        <f>SUM(Q40:Q42)</f>
        <v>135851</v>
      </c>
      <c r="S43" s="239">
        <f>SUM(S40:S42)</f>
        <v>135851</v>
      </c>
      <c r="U43" s="239">
        <f>SUM(U40:U42)</f>
        <v>135851</v>
      </c>
      <c r="W43" s="239">
        <f>SUM(W40:W42)</f>
        <v>135851</v>
      </c>
      <c r="Y43" s="239">
        <f>SUM(Y40:Y42)</f>
        <v>135851</v>
      </c>
      <c r="AA43" s="239">
        <f>SUM(AA40:AA42)</f>
        <v>135851</v>
      </c>
      <c r="AC43" s="239">
        <f>SUM(AC40:AC42)</f>
        <v>135851</v>
      </c>
      <c r="AE43" s="239">
        <f>SUM(AE40:AE42)</f>
        <v>135851</v>
      </c>
      <c r="AG43" s="239">
        <f>SUM(AG40:AG42)</f>
        <v>135851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40913</v>
      </c>
      <c r="G45" s="239">
        <f>G37-G43</f>
        <v>40327.09999999986</v>
      </c>
      <c r="I45" s="239">
        <f>I37-I43</f>
        <v>39507.627499999828</v>
      </c>
      <c r="K45" s="239">
        <f>K37-K43</f>
        <v>38441.080812499858</v>
      </c>
      <c r="M45" s="239">
        <f>M37-M43</f>
        <v>37113.352524687187</v>
      </c>
      <c r="O45" s="239">
        <f>O37-O43</f>
        <v>35509.704968895065</v>
      </c>
      <c r="Q45" s="239">
        <f>Q37-Q43</f>
        <v>33614.744751296239</v>
      </c>
      <c r="S45" s="239">
        <f>S37-S43</f>
        <v>31412.396303793532</v>
      </c>
      <c r="U45" s="239">
        <f>U37-U43</f>
        <v>28885.874422783614</v>
      </c>
      <c r="W45" s="239">
        <f>W37-W43</f>
        <v>26017.65575714712</v>
      </c>
      <c r="Y45" s="239">
        <f>Y37-Y43</f>
        <v>22789.449206452351</v>
      </c>
      <c r="AA45" s="239">
        <f>AA37-AA43</f>
        <v>19182.165188928833</v>
      </c>
      <c r="AC45" s="239">
        <f>AC37-AC43</f>
        <v>15175.883737297961</v>
      </c>
      <c r="AE45" s="239">
        <f>AE37-AE43</f>
        <v>10749.821379028494</v>
      </c>
      <c r="AG45" s="239">
        <f>AG37-AG43</f>
        <v>5882.2967559932731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4.560482432673444E-2</v>
      </c>
      <c r="G47" s="243">
        <f>G45/(G4+G6+G8)</f>
        <v>4.3855350672286672E-2</v>
      </c>
      <c r="I47" s="243">
        <f>I45/(I4+I6+I8)</f>
        <v>4.1916274984305474E-2</v>
      </c>
      <c r="K47" s="243">
        <f>K45/(K4+K6+K8)</f>
        <v>3.978995563314365E-2</v>
      </c>
      <c r="M47" s="243">
        <f>M45/(M4+M6+M8)</f>
        <v>3.7478671359930646E-2</v>
      </c>
      <c r="O47" s="243">
        <f>O45/(O4+O6+O8)</f>
        <v>3.4984623003061897E-2</v>
      </c>
      <c r="Q47" s="243">
        <f>Q45/(Q4+Q6+Q8)</f>
        <v>3.2309935180472038E-2</v>
      </c>
      <c r="S47" s="243">
        <f>S45/(S4+S6+S8)</f>
        <v>2.9456657928754685E-2</v>
      </c>
      <c r="U47" s="243">
        <f>U45/(U4+U6+U8)</f>
        <v>2.6426768300157461E-2</v>
      </c>
      <c r="W47" s="243">
        <f>W45/(W4+W6+W8)</f>
        <v>2.3222171918457771E-2</v>
      </c>
      <c r="Y47" s="243">
        <f>Y45/(Y4+Y6+Y8)</f>
        <v>1.9844704494705528E-2</v>
      </c>
      <c r="AA47" s="243">
        <f>AA45/(AA4+AA6+AA8)</f>
        <v>1.6296133303786306E-2</v>
      </c>
      <c r="AC47" s="243">
        <f>AC45/(AC4+AC6+AC8)</f>
        <v>1.2578158622738646E-2</v>
      </c>
      <c r="AE47" s="243">
        <f>AE45/(AE4+AE6+AE8)</f>
        <v>8.6924151317413715E-3</v>
      </c>
      <c r="AG47" s="243">
        <f>AG45/(AG4+AG6+AG8)</f>
        <v>4.6404732786550678E-3</v>
      </c>
    </row>
    <row r="48" spans="1:33" s="243" customFormat="1" ht="14.25">
      <c r="A48" s="243" t="s">
        <v>864</v>
      </c>
      <c r="C48" s="236"/>
      <c r="E48" s="243">
        <f>E45/E43</f>
        <v>0.30116083061589538</v>
      </c>
      <c r="G48" s="243">
        <f>G45/G43</f>
        <v>0.29684801731308463</v>
      </c>
      <c r="I48" s="243">
        <f>I45/I43</f>
        <v>0.29081587548122451</v>
      </c>
      <c r="K48" s="243">
        <f>K45/K43</f>
        <v>0.28296501912021155</v>
      </c>
      <c r="M48" s="243">
        <f>M45/M43</f>
        <v>0.27319160348239752</v>
      </c>
      <c r="O48" s="243">
        <f>O45/O43</f>
        <v>0.26138714451049361</v>
      </c>
      <c r="Q48" s="243">
        <f>Q45/Q43</f>
        <v>0.24743833134313503</v>
      </c>
      <c r="S48" s="243">
        <f>S45/S43</f>
        <v>0.23122683163019433</v>
      </c>
      <c r="U48" s="243">
        <f>U45/U43</f>
        <v>0.21262908939046171</v>
      </c>
      <c r="W48" s="243">
        <f>W45/W43</f>
        <v>0.19151611513457478</v>
      </c>
      <c r="Y48" s="243">
        <f>Y45/Y43</f>
        <v>0.16775326796602419</v>
      </c>
      <c r="AA48" s="243">
        <f>AA45/AA43</f>
        <v>0.14120002936252832</v>
      </c>
      <c r="AC48" s="243">
        <f>AC45/AC43</f>
        <v>0.11170976832925751</v>
      </c>
      <c r="AE48" s="243">
        <f>AE45/AE43</f>
        <v>7.9129497604202348E-2</v>
      </c>
      <c r="AG48" s="243">
        <f>AG45/AG43</f>
        <v>4.3299620584267125E-2</v>
      </c>
    </row>
    <row r="49" spans="1:35" s="244" customFormat="1" ht="14.25">
      <c r="A49" s="244" t="s">
        <v>862</v>
      </c>
      <c r="C49" s="245"/>
      <c r="E49" s="244">
        <f>E37/E43</f>
        <v>1.3011608306158953</v>
      </c>
      <c r="G49" s="244">
        <f>G37/G43</f>
        <v>1.2968480173130845</v>
      </c>
      <c r="I49" s="244">
        <f>I37/I43</f>
        <v>1.2908158754812245</v>
      </c>
      <c r="K49" s="244">
        <f>K37/K43</f>
        <v>1.2829650191202115</v>
      </c>
      <c r="M49" s="244">
        <f>M37/M43</f>
        <v>1.2731916034823976</v>
      </c>
      <c r="O49" s="244">
        <f>O37/O43</f>
        <v>1.2613871445104936</v>
      </c>
      <c r="Q49" s="244">
        <f>Q37/Q43</f>
        <v>1.247438331343135</v>
      </c>
      <c r="S49" s="244">
        <f>S37/S43</f>
        <v>1.2312268316301944</v>
      </c>
      <c r="U49" s="244">
        <f>U37/U43</f>
        <v>1.2126290893904617</v>
      </c>
      <c r="W49" s="244">
        <f>W37/W43</f>
        <v>1.1915161151345748</v>
      </c>
      <c r="Y49" s="244">
        <f>Y37/Y43</f>
        <v>1.1677532679660241</v>
      </c>
      <c r="AA49" s="244">
        <f>AA37/AA43</f>
        <v>1.1412000293625284</v>
      </c>
      <c r="AC49" s="244">
        <f>AC37/AC43</f>
        <v>1.1117097683292576</v>
      </c>
      <c r="AE49" s="244">
        <f>AE37/AE43</f>
        <v>1.0791294976042023</v>
      </c>
      <c r="AG49" s="244">
        <f>AG37/AG43</f>
        <v>1.0432996205842671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2774</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3817</v>
      </c>
      <c r="G53" s="995">
        <f>E53*$C$53</f>
        <v>3931.51</v>
      </c>
      <c r="I53" s="995">
        <f>G53*$C$53</f>
        <v>4049.4553000000005</v>
      </c>
      <c r="K53" s="995">
        <f>I53*$C$53</f>
        <v>4170.938959000001</v>
      </c>
      <c r="M53" s="995">
        <f>K53*$C$53</f>
        <v>4296.0671277700012</v>
      </c>
      <c r="O53" s="995">
        <f>M53*$C$53</f>
        <v>4424.9491416031015</v>
      </c>
      <c r="Q53" s="995">
        <f>O53*$C$53</f>
        <v>4557.6976158511943</v>
      </c>
      <c r="S53" s="995">
        <f>Q53*$C$53</f>
        <v>4694.4285443267299</v>
      </c>
      <c r="U53" s="995">
        <f>S53*$C$53</f>
        <v>4835.2614006565318</v>
      </c>
      <c r="W53" s="995">
        <f>U53*$C$53</f>
        <v>4980.319242676228</v>
      </c>
      <c r="Y53" s="995">
        <f>W53*$C$53</f>
        <v>5129.7288199565146</v>
      </c>
      <c r="AA53" s="995">
        <f>Y53*$C$53</f>
        <v>5283.6206845552106</v>
      </c>
      <c r="AC53" s="995">
        <f>AA53*$C$53</f>
        <v>5442.1293050918666</v>
      </c>
      <c r="AE53" s="995">
        <f>AC53*$C$53</f>
        <v>5605.3931842446227</v>
      </c>
      <c r="AG53" s="995">
        <f>AE53*$C$53</f>
        <v>5773.5549797719614</v>
      </c>
    </row>
    <row r="54" spans="1:35" s="3" customFormat="1">
      <c r="A54" s="3" t="s">
        <v>867</v>
      </c>
      <c r="C54" s="998">
        <v>1.03</v>
      </c>
      <c r="E54" s="1000">
        <v>34351</v>
      </c>
      <c r="F54" s="995"/>
      <c r="G54" s="995">
        <f t="shared" ref="G54:AG57" si="1">E54*$C$53</f>
        <v>35381.53</v>
      </c>
      <c r="H54" s="995"/>
      <c r="I54" s="995">
        <f t="shared" si="1"/>
        <v>36442.975899999998</v>
      </c>
      <c r="J54" s="995"/>
      <c r="K54" s="995">
        <f t="shared" si="1"/>
        <v>37536.265177000001</v>
      </c>
      <c r="L54" s="995"/>
      <c r="M54" s="995">
        <f t="shared" si="1"/>
        <v>38662.353132310003</v>
      </c>
      <c r="N54" s="995"/>
      <c r="O54" s="995">
        <f t="shared" si="1"/>
        <v>39822.223726279306</v>
      </c>
      <c r="P54" s="995"/>
      <c r="Q54" s="995">
        <f t="shared" si="1"/>
        <v>41016.890438067683</v>
      </c>
      <c r="R54" s="995"/>
      <c r="S54" s="995">
        <f t="shared" si="1"/>
        <v>42247.397151209712</v>
      </c>
      <c r="T54" s="995"/>
      <c r="U54" s="995">
        <f t="shared" si="1"/>
        <v>43514.819065746007</v>
      </c>
      <c r="V54" s="995"/>
      <c r="W54" s="995">
        <f t="shared" si="1"/>
        <v>44820.263637718388</v>
      </c>
      <c r="X54" s="995"/>
      <c r="Y54" s="995">
        <f t="shared" si="1"/>
        <v>46164.871546849943</v>
      </c>
      <c r="Z54" s="995"/>
      <c r="AA54" s="995">
        <f t="shared" si="1"/>
        <v>47549.817693255442</v>
      </c>
      <c r="AB54" s="995"/>
      <c r="AC54" s="995">
        <f t="shared" si="1"/>
        <v>48976.312224053108</v>
      </c>
      <c r="AD54" s="995"/>
      <c r="AE54" s="995">
        <f t="shared" si="1"/>
        <v>50445.601590774706</v>
      </c>
      <c r="AF54" s="995"/>
      <c r="AG54" s="995">
        <f t="shared" si="1"/>
        <v>51958.969638497947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38168</v>
      </c>
      <c r="F58" s="995"/>
      <c r="G58" s="995">
        <f>SUM(G53:G57)</f>
        <v>39313.040000000001</v>
      </c>
      <c r="H58" s="995"/>
      <c r="I58" s="995">
        <f>SUM(I53:I57)</f>
        <v>40492.431199999999</v>
      </c>
      <c r="J58" s="995"/>
      <c r="K58" s="995">
        <f>SUM(K53:K57)</f>
        <v>41707.204136</v>
      </c>
      <c r="L58" s="995"/>
      <c r="M58" s="995">
        <f>SUM(M53:M57)</f>
        <v>42958.420260080005</v>
      </c>
      <c r="N58" s="995"/>
      <c r="O58" s="995">
        <f>SUM(O53:O57)</f>
        <v>44247.172867882407</v>
      </c>
      <c r="P58" s="995"/>
      <c r="Q58" s="995">
        <f>SUM(Q53:Q57)</f>
        <v>45574.58805391888</v>
      </c>
      <c r="R58" s="995"/>
      <c r="S58" s="995">
        <f>SUM(S53:S57)</f>
        <v>46941.825695536441</v>
      </c>
      <c r="T58" s="995"/>
      <c r="U58" s="995">
        <f>SUM(U53:U57)</f>
        <v>48350.080466402542</v>
      </c>
      <c r="V58" s="995"/>
      <c r="W58" s="995">
        <f>SUM(W53:W57)</f>
        <v>49800.582880394613</v>
      </c>
      <c r="X58" s="995"/>
      <c r="Y58" s="995">
        <f>SUM(Y53:Y57)</f>
        <v>51294.600366806459</v>
      </c>
      <c r="Z58" s="995"/>
      <c r="AA58" s="995">
        <f>SUM(AA53:AA57)</f>
        <v>52833.438377810649</v>
      </c>
      <c r="AB58" s="995"/>
      <c r="AC58" s="995">
        <f>SUM(AC53:AC57)</f>
        <v>54418.441529144977</v>
      </c>
      <c r="AD58" s="995"/>
      <c r="AE58" s="995">
        <f>SUM(AE53:AE57)</f>
        <v>56050.994775019331</v>
      </c>
      <c r="AF58" s="995"/>
      <c r="AG58" s="995">
        <f>SUM(AG53:AG57)</f>
        <v>57732.524618269905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MAX(E45-E58,0)</f>
        <v>2745</v>
      </c>
      <c r="G60" s="997">
        <f>MAX(G45-G58,0)</f>
        <v>1014.0599999998594</v>
      </c>
      <c r="I60" s="997">
        <f>MAX(I45-I58,0)</f>
        <v>0</v>
      </c>
      <c r="K60" s="997">
        <f>MAX(K45-K58,0)</f>
        <v>0</v>
      </c>
      <c r="M60" s="997">
        <f>MAX(M45-M58,0)</f>
        <v>0</v>
      </c>
      <c r="O60" s="997">
        <f>MAX(O45-O58,0)</f>
        <v>0</v>
      </c>
      <c r="Q60" s="997">
        <f>MAX(Q45-Q58,0)</f>
        <v>0</v>
      </c>
      <c r="S60" s="997">
        <f>MAX(S45-S58,0)</f>
        <v>0</v>
      </c>
      <c r="U60" s="997">
        <f>MAX(U45-U58,0)</f>
        <v>0</v>
      </c>
      <c r="W60" s="997">
        <f>MAX(W45-W58,0)</f>
        <v>0</v>
      </c>
      <c r="Y60" s="997">
        <f>MAX(Y45-Y58,0)</f>
        <v>0</v>
      </c>
      <c r="AA60" s="997">
        <f>MAX(AA45-AA58,0)</f>
        <v>0</v>
      </c>
      <c r="AC60" s="997">
        <f>MAX(AC45-AC58,0)</f>
        <v>0</v>
      </c>
      <c r="AE60" s="997">
        <f>MAX(AE45-AE58,0)</f>
        <v>0</v>
      </c>
      <c r="AG60" s="997">
        <f>AG45-AG58</f>
        <v>-51850.227862276632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2745</v>
      </c>
      <c r="G62" s="997">
        <f>G60*$C$62</f>
        <v>1014.0599999998594</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-51850.227862276632</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c r="I66" s="995"/>
      <c r="K66" s="995"/>
      <c r="M66" s="995"/>
      <c r="O66" s="995"/>
      <c r="Q66" s="995"/>
      <c r="S66" s="995"/>
      <c r="U66" s="995"/>
      <c r="W66" s="995"/>
      <c r="Y66" s="995"/>
      <c r="AA66" s="995"/>
      <c r="AC66" s="995"/>
      <c r="AE66" s="995"/>
      <c r="AG66" s="995"/>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865</v>
      </c>
      <c r="C70" s="1005"/>
    </row>
    <row r="71" spans="1:35" s="995" customFormat="1">
      <c r="A71" s="997"/>
      <c r="C71" s="1005"/>
    </row>
    <row r="72" spans="1:35" s="995" customFormat="1">
      <c r="A72" s="997" t="s">
        <v>1914</v>
      </c>
      <c r="C72" s="1005"/>
      <c r="E72" s="997"/>
      <c r="G72" s="997"/>
      <c r="I72" s="997"/>
      <c r="K72" s="997"/>
      <c r="M72" s="997"/>
      <c r="O72" s="997"/>
      <c r="Q72" s="997"/>
      <c r="S72" s="997"/>
      <c r="U72" s="997"/>
      <c r="W72" s="997"/>
      <c r="Y72" s="997"/>
      <c r="AA72" s="997"/>
      <c r="AC72" s="997"/>
      <c r="AE72" s="997"/>
      <c r="AG72" s="997"/>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A14" sqref="A14"/>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2500000</v>
      </c>
      <c r="C5" s="286">
        <f>'Sources and Uses Budget'!$C4</f>
        <v>2500000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2500000</v>
      </c>
      <c r="C9" s="290">
        <f>SUM(C5:C8)</f>
        <v>2500000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2500000</v>
      </c>
      <c r="C13" s="290">
        <f>SUM(C9+C12)</f>
        <v>2500000</v>
      </c>
      <c r="D13" s="290">
        <f t="shared" si="0"/>
        <v>0</v>
      </c>
      <c r="E13" s="288"/>
      <c r="F13" s="287"/>
      <c r="G13" s="383"/>
    </row>
    <row r="14" spans="1:7" s="380" customFormat="1">
      <c r="A14" s="397" t="s">
        <v>918</v>
      </c>
      <c r="B14" s="286">
        <f>'Sources and Uses Budget'!$C13</f>
        <v>964300</v>
      </c>
      <c r="C14" s="286">
        <f>'Sources and Uses Budget'!$C13</f>
        <v>964300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5469400</v>
      </c>
      <c r="C30" s="286">
        <f>'Sources and Uses Budget'!$C29</f>
        <v>5469400</v>
      </c>
      <c r="D30" s="290">
        <f t="shared" si="0"/>
        <v>0</v>
      </c>
      <c r="E30" s="288"/>
      <c r="F30" s="287"/>
      <c r="G30" s="383"/>
    </row>
    <row r="31" spans="1:7" s="380" customFormat="1">
      <c r="A31" s="145" t="s">
        <v>608</v>
      </c>
      <c r="B31" s="286">
        <f>'Sources and Uses Budget'!$C30</f>
        <v>26590179</v>
      </c>
      <c r="C31" s="286">
        <f>'Sources and Uses Budget'!$C30</f>
        <v>26590179</v>
      </c>
      <c r="D31" s="290">
        <f t="shared" si="0"/>
        <v>0</v>
      </c>
      <c r="E31" s="288"/>
      <c r="F31" s="287"/>
      <c r="G31" s="383"/>
    </row>
    <row r="32" spans="1:7" s="380" customFormat="1">
      <c r="A32" s="145" t="s">
        <v>609</v>
      </c>
      <c r="B32" s="286">
        <f>'Sources and Uses Budget'!$C31</f>
        <v>1109520</v>
      </c>
      <c r="C32" s="286">
        <f>'Sources and Uses Budget'!$C31</f>
        <v>1109520</v>
      </c>
      <c r="D32" s="290">
        <f t="shared" si="0"/>
        <v>0</v>
      </c>
      <c r="E32" s="288"/>
      <c r="F32" s="287"/>
      <c r="G32" s="383"/>
    </row>
    <row r="33" spans="1:7" s="380" customFormat="1">
      <c r="A33" s="145" t="s">
        <v>137</v>
      </c>
      <c r="B33" s="286">
        <f>'Sources and Uses Budget'!$C32</f>
        <v>2034120</v>
      </c>
      <c r="C33" s="286">
        <f>'Sources and Uses Budget'!$C32</f>
        <v>2034120</v>
      </c>
      <c r="D33" s="290">
        <f t="shared" si="0"/>
        <v>0</v>
      </c>
      <c r="E33" s="288"/>
      <c r="F33" s="287"/>
      <c r="G33" s="383"/>
    </row>
    <row r="34" spans="1:7" s="380" customFormat="1">
      <c r="A34" s="145" t="s">
        <v>138</v>
      </c>
      <c r="B34" s="286">
        <f>'Sources and Uses Budget'!$C33</f>
        <v>2034120</v>
      </c>
      <c r="C34" s="286">
        <f>'Sources and Uses Budget'!$C33</f>
        <v>2034120</v>
      </c>
      <c r="D34" s="290">
        <f t="shared" si="0"/>
        <v>0</v>
      </c>
      <c r="E34" s="288"/>
      <c r="F34" s="287"/>
      <c r="G34" s="383"/>
    </row>
    <row r="35" spans="1:7" s="380" customFormat="1">
      <c r="A35" s="145" t="s">
        <v>139</v>
      </c>
      <c r="B35" s="286">
        <f>'Sources and Uses Budget'!$C34</f>
        <v>6164000</v>
      </c>
      <c r="C35" s="286">
        <f>'Sources and Uses Budget'!$C34</f>
        <v>6164000</v>
      </c>
      <c r="D35" s="290">
        <f t="shared" si="0"/>
        <v>0</v>
      </c>
      <c r="E35" s="288"/>
      <c r="F35" s="287"/>
      <c r="G35" s="383"/>
    </row>
    <row r="36" spans="1:7" s="380" customFormat="1">
      <c r="A36" s="145" t="s">
        <v>140</v>
      </c>
      <c r="B36" s="286">
        <f>'Sources and Uses Budget'!$C35</f>
        <v>820000</v>
      </c>
      <c r="C36" s="286">
        <f>'Sources and Uses Budget'!$C35</f>
        <v>820000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Prevailing Wage Monitor</v>
      </c>
      <c r="B38" s="286">
        <f>'Sources and Uses Budget'!$C37</f>
        <v>127184</v>
      </c>
      <c r="C38" s="286">
        <f>'Sources and Uses Budget'!$C37</f>
        <v>127184</v>
      </c>
      <c r="D38" s="290">
        <f t="shared" si="0"/>
        <v>0</v>
      </c>
      <c r="E38" s="288"/>
      <c r="F38" s="287"/>
      <c r="G38" s="383"/>
    </row>
    <row r="39" spans="1:7" s="380" customFormat="1">
      <c r="A39" s="291" t="s">
        <v>143</v>
      </c>
      <c r="B39" s="290">
        <f>SUM(B30:B38)</f>
        <v>44348523</v>
      </c>
      <c r="C39" s="290">
        <f>SUM(C30:C38)</f>
        <v>44348523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931150</v>
      </c>
      <c r="C41" s="286">
        <f>'Sources and Uses Budget'!$C40</f>
        <v>931150</v>
      </c>
      <c r="D41" s="290">
        <f t="shared" si="0"/>
        <v>0</v>
      </c>
      <c r="E41" s="288"/>
      <c r="F41" s="287"/>
      <c r="G41" s="383"/>
    </row>
    <row r="42" spans="1:7" s="380" customFormat="1">
      <c r="A42" s="289" t="s">
        <v>146</v>
      </c>
      <c r="B42" s="286">
        <f>'Sources and Uses Budget'!$C41</f>
        <v>296200</v>
      </c>
      <c r="C42" s="286">
        <f>'Sources and Uses Budget'!$C41</f>
        <v>296200</v>
      </c>
      <c r="D42" s="290">
        <f t="shared" si="0"/>
        <v>0</v>
      </c>
      <c r="E42" s="288"/>
      <c r="F42" s="287"/>
      <c r="G42" s="383"/>
    </row>
    <row r="43" spans="1:7" s="380" customFormat="1">
      <c r="A43" s="291" t="s">
        <v>147</v>
      </c>
      <c r="B43" s="290">
        <f>SUM(B41:B42)</f>
        <v>1227350</v>
      </c>
      <c r="C43" s="290">
        <f>SUM(C41:C42)</f>
        <v>1227350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7102543</v>
      </c>
      <c r="C46" s="286">
        <f>'Sources and Uses Budget'!$C45</f>
        <v>7102543</v>
      </c>
      <c r="D46" s="290">
        <f t="shared" si="0"/>
        <v>0</v>
      </c>
      <c r="E46" s="288"/>
      <c r="F46" s="287"/>
      <c r="G46" s="383"/>
    </row>
    <row r="47" spans="1:7" s="380" customFormat="1">
      <c r="A47" s="145" t="s">
        <v>151</v>
      </c>
      <c r="B47" s="286">
        <f>'Sources and Uses Budget'!$C46</f>
        <v>546264</v>
      </c>
      <c r="C47" s="286">
        <f>'Sources and Uses Budget'!$C46</f>
        <v>546264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203366</v>
      </c>
      <c r="C50" s="286">
        <f>'Sources and Uses Budget'!$C49</f>
        <v>203366</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67500</v>
      </c>
      <c r="C52" s="286">
        <f>'Sources and Uses Budget'!$C51</f>
        <v>67500</v>
      </c>
      <c r="D52" s="290">
        <f t="shared" si="0"/>
        <v>0</v>
      </c>
      <c r="E52" s="288"/>
      <c r="F52" s="287"/>
      <c r="G52" s="383"/>
    </row>
    <row r="53" spans="1:7" s="380" customFormat="1">
      <c r="A53" s="145" t="s">
        <v>155</v>
      </c>
      <c r="B53" s="286">
        <f>'Sources and Uses Budget'!$C52</f>
        <v>895000</v>
      </c>
      <c r="C53" s="286">
        <f>'Sources and Uses Budget'!$C52</f>
        <v>895000</v>
      </c>
      <c r="D53" s="290">
        <f t="shared" si="0"/>
        <v>0</v>
      </c>
      <c r="E53" s="288"/>
      <c r="F53" s="287"/>
      <c r="G53" s="383"/>
    </row>
    <row r="54" spans="1:7" s="380" customFormat="1">
      <c r="A54" s="155" t="str">
        <f>'Sources and Uses Budget'!A53</f>
        <v xml:space="preserve">Other: Legal Closing </v>
      </c>
      <c r="B54" s="286">
        <f>'Sources and Uses Budget'!$C53</f>
        <v>309500</v>
      </c>
      <c r="C54" s="286">
        <f>'Sources and Uses Budget'!$C53</f>
        <v>309500</v>
      </c>
      <c r="D54" s="290">
        <f t="shared" si="0"/>
        <v>0</v>
      </c>
      <c r="E54" s="288"/>
      <c r="F54" s="287"/>
      <c r="G54" s="383"/>
    </row>
    <row r="55" spans="1:7" s="381" customFormat="1">
      <c r="A55" s="291" t="s">
        <v>157</v>
      </c>
      <c r="B55" s="293">
        <f>SUM(B46:B54)</f>
        <v>9224173</v>
      </c>
      <c r="C55" s="293">
        <f>SUM(C46:C54)</f>
        <v>9224173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80000</v>
      </c>
      <c r="C59" s="286">
        <f>'Sources and Uses Budget'!$C58</f>
        <v>80000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80000</v>
      </c>
      <c r="C63" s="290">
        <f>SUM(C57:C62)</f>
        <v>80000</v>
      </c>
      <c r="D63" s="290">
        <f t="shared" si="0"/>
        <v>0</v>
      </c>
      <c r="E63" s="288"/>
      <c r="F63" s="287"/>
      <c r="G63" s="383"/>
    </row>
    <row r="64" spans="1:7" s="380" customFormat="1">
      <c r="A64" s="294" t="s">
        <v>303</v>
      </c>
      <c r="B64" s="290">
        <f>SUM(B9+B12+B14+B15+B17+B26+B28+B39+B43+B44+B55+B63)</f>
        <v>58344346</v>
      </c>
      <c r="C64" s="290">
        <f>SUM(C9+C12+C14+C15+C17+C26+C28+C39+C43+C44+C55+C63)</f>
        <v>58344346</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45000</v>
      </c>
      <c r="C66" s="286">
        <f>'Sources and Uses Budget'!$C65</f>
        <v>45000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45000</v>
      </c>
      <c r="C71" s="290">
        <f>SUM(C66:C70)</f>
        <v>45000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202838</v>
      </c>
      <c r="C76" s="286">
        <f>'Sources and Uses Budget'!$C75</f>
        <v>202838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202838</v>
      </c>
      <c r="C78" s="290">
        <f>SUM(C73:C77)</f>
        <v>202838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2209088</v>
      </c>
      <c r="C80" s="286">
        <f>'Sources and Uses Budget'!$C79</f>
        <v>2209088</v>
      </c>
      <c r="D80" s="290">
        <f t="shared" si="1"/>
        <v>0</v>
      </c>
      <c r="E80" s="288"/>
      <c r="F80" s="287"/>
      <c r="G80" s="383"/>
    </row>
    <row r="81" spans="1:7" s="380" customFormat="1">
      <c r="A81" s="544" t="s">
        <v>58</v>
      </c>
      <c r="B81" s="286">
        <f>'Sources and Uses Budget'!$C80</f>
        <v>376768</v>
      </c>
      <c r="C81" s="286">
        <f>'Sources and Uses Budget'!$C80</f>
        <v>376768</v>
      </c>
      <c r="D81" s="290">
        <f>C81-B81</f>
        <v>0</v>
      </c>
      <c r="E81" s="288"/>
      <c r="F81" s="287"/>
      <c r="G81" s="383"/>
    </row>
    <row r="82" spans="1:7" s="380" customFormat="1">
      <c r="A82" s="291" t="s">
        <v>1316</v>
      </c>
      <c r="B82" s="290">
        <f>SUM(B80:B81)</f>
        <v>2585856</v>
      </c>
      <c r="C82" s="290">
        <f>SUM(C80:C81)</f>
        <v>2585856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106433</v>
      </c>
      <c r="C84" s="286">
        <f>'Sources and Uses Budget'!$C83</f>
        <v>106433</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3564104</v>
      </c>
      <c r="C86" s="286">
        <f>'Sources and Uses Budget'!$C85</f>
        <v>3564104</v>
      </c>
      <c r="D86" s="290">
        <f t="shared" si="1"/>
        <v>0</v>
      </c>
      <c r="E86" s="288"/>
      <c r="F86" s="287"/>
      <c r="G86" s="383"/>
    </row>
    <row r="87" spans="1:7" s="380" customFormat="1">
      <c r="A87" s="289" t="s">
        <v>779</v>
      </c>
      <c r="B87" s="286">
        <f>'Sources and Uses Budget'!$C86</f>
        <v>148724</v>
      </c>
      <c r="C87" s="286">
        <f>'Sources and Uses Budget'!$C86</f>
        <v>148724</v>
      </c>
      <c r="D87" s="290">
        <f t="shared" si="1"/>
        <v>0</v>
      </c>
      <c r="E87" s="288"/>
      <c r="F87" s="287"/>
      <c r="G87" s="383"/>
    </row>
    <row r="88" spans="1:7" s="380" customFormat="1">
      <c r="A88" s="289" t="s">
        <v>780</v>
      </c>
      <c r="B88" s="286">
        <f>'Sources and Uses Budget'!$C87</f>
        <v>344752</v>
      </c>
      <c r="C88" s="286">
        <f>'Sources and Uses Budget'!$C87</f>
        <v>344752</v>
      </c>
      <c r="D88" s="290">
        <f t="shared" si="1"/>
        <v>0</v>
      </c>
      <c r="E88" s="288"/>
      <c r="F88" s="287"/>
      <c r="G88" s="383"/>
    </row>
    <row r="89" spans="1:7" s="380" customFormat="1">
      <c r="A89" s="289" t="s">
        <v>781</v>
      </c>
      <c r="B89" s="286">
        <f>'Sources and Uses Budget'!$C88</f>
        <v>125000</v>
      </c>
      <c r="C89" s="286">
        <f>'Sources and Uses Budget'!$C88</f>
        <v>125000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12000</v>
      </c>
      <c r="C91" s="286">
        <f>'Sources and Uses Budget'!$C90</f>
        <v>12000</v>
      </c>
      <c r="D91" s="290">
        <f t="shared" si="1"/>
        <v>0</v>
      </c>
      <c r="E91" s="288"/>
      <c r="F91" s="287"/>
      <c r="G91" s="383"/>
    </row>
    <row r="92" spans="1:7" s="380" customFormat="1">
      <c r="A92" s="289" t="s">
        <v>373</v>
      </c>
      <c r="B92" s="286">
        <f>'Sources and Uses Budget'!$C91</f>
        <v>36000</v>
      </c>
      <c r="C92" s="286">
        <f>'Sources and Uses Budget'!$C91</f>
        <v>36000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175000</v>
      </c>
      <c r="C94" s="286">
        <f>'Sources and Uses Budget'!$C93</f>
        <v>175000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4624013</v>
      </c>
      <c r="C97" s="290">
        <f>SUM(C84:C96)</f>
        <v>4624013</v>
      </c>
      <c r="D97" s="290">
        <f t="shared" si="1"/>
        <v>0</v>
      </c>
      <c r="E97" s="288"/>
      <c r="F97" s="287"/>
      <c r="G97" s="383"/>
    </row>
    <row r="98" spans="1:7" s="380" customFormat="1">
      <c r="A98" s="291" t="s">
        <v>785</v>
      </c>
      <c r="B98" s="290">
        <f>SUM(B64+B71+B78+B82+B97)</f>
        <v>65802053</v>
      </c>
      <c r="C98" s="290">
        <f>SUM(C64+C71+C78+C82+C97)</f>
        <v>65802053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8762441</v>
      </c>
      <c r="C100" s="286">
        <f>'Sources and Uses Budget'!$C99</f>
        <v>8762441</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8762441</v>
      </c>
      <c r="C105" s="290">
        <f>SUM(C100:C104)</f>
        <v>8762441</v>
      </c>
      <c r="D105" s="290">
        <f t="shared" si="1"/>
        <v>0</v>
      </c>
      <c r="E105" s="288"/>
      <c r="F105" s="287"/>
      <c r="G105" s="383"/>
    </row>
    <row r="106" spans="1:7" s="380" customFormat="1">
      <c r="A106" s="291" t="s">
        <v>790</v>
      </c>
      <c r="B106" s="293">
        <f>SUM(B98+B105)</f>
        <v>74564494</v>
      </c>
      <c r="C106" s="293">
        <f>SUM(C98+C105)</f>
        <v>74564494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2775</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2775</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2776</v>
      </c>
      <c r="D24" s="1281" t="s">
        <v>1154</v>
      </c>
      <c r="E24" s="1281"/>
      <c r="F24" s="1281"/>
      <c r="I24" s="524" t="s">
        <v>2075</v>
      </c>
    </row>
    <row r="25" spans="1:9" ht="14.25">
      <c r="A25" s="518"/>
      <c r="B25" s="518"/>
      <c r="D25" s="1281"/>
      <c r="E25" s="1281"/>
      <c r="F25" s="1281"/>
      <c r="I25" s="524"/>
    </row>
    <row r="26" spans="1:9">
      <c r="I26" s="524"/>
    </row>
    <row r="27" spans="1:9" ht="14.25">
      <c r="A27" s="518"/>
      <c r="B27" s="519" t="s">
        <v>2775</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2776</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2776</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2776</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2775</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2776</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2775</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2776</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2776</v>
      </c>
      <c r="D65" s="1281" t="s">
        <v>1163</v>
      </c>
      <c r="E65" s="1281"/>
      <c r="F65" s="1281"/>
      <c r="I65" s="524" t="s">
        <v>2077</v>
      </c>
    </row>
    <row r="66" spans="1:9">
      <c r="D66" s="1281"/>
      <c r="E66" s="1281"/>
      <c r="F66" s="1281"/>
      <c r="I66" s="524"/>
    </row>
    <row r="67" spans="1:9">
      <c r="I67" s="524"/>
    </row>
    <row r="68" spans="1:9" ht="14.25">
      <c r="A68" s="518"/>
      <c r="B68" s="519" t="s">
        <v>2775</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2775</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2775</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2775</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2775</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2775</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2776</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2776</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2776</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2775</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2775</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2775</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2776</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2776</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2776</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2776</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2775</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2776</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2776</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2776</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2776</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2776</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2775</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2775</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2775</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2776</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2775</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2775</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2775</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2776</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2776</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2776</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2776</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2776</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2776</v>
      </c>
      <c r="D305" s="1310" t="s">
        <v>1216</v>
      </c>
      <c r="E305" s="1310"/>
      <c r="F305" s="1310"/>
      <c r="I305" s="524" t="s">
        <v>2092</v>
      </c>
    </row>
    <row r="306" spans="1:9" ht="14.25">
      <c r="A306" s="518"/>
      <c r="B306" s="518"/>
      <c r="D306" s="528"/>
      <c r="E306" s="529"/>
      <c r="F306" s="529"/>
      <c r="I306" s="524"/>
    </row>
    <row r="307" spans="1:9" ht="13.7" customHeight="1">
      <c r="B307" s="519" t="s">
        <v>2776</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2776</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2776</v>
      </c>
      <c r="D316" s="1310" t="s">
        <v>1219</v>
      </c>
      <c r="E316" s="1310"/>
      <c r="F316" s="1310"/>
      <c r="I316" s="524" t="s">
        <v>2078</v>
      </c>
    </row>
    <row r="317" spans="1:9">
      <c r="E317" s="480"/>
      <c r="F317" s="480"/>
      <c r="I317" s="524"/>
    </row>
    <row r="318" spans="1:9" ht="14.25">
      <c r="A318" s="518"/>
      <c r="B318" s="519" t="s">
        <v>2776</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2776</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2776</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2776</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2776</v>
      </c>
      <c r="C360" s="510"/>
      <c r="D360" s="1314" t="s">
        <v>2372</v>
      </c>
      <c r="E360" s="1314"/>
      <c r="F360" s="1314"/>
      <c r="I360" s="514"/>
    </row>
    <row r="361" spans="1:9">
      <c r="A361" s="510"/>
      <c r="B361" s="510"/>
      <c r="C361" s="510"/>
      <c r="D361" s="481"/>
      <c r="E361" s="481"/>
      <c r="F361" s="480"/>
      <c r="I361" s="524"/>
    </row>
    <row r="362" spans="1:9">
      <c r="A362" s="510"/>
      <c r="B362" s="519" t="s">
        <v>2776</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2776</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2776</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2776</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2776</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2776</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2776</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2776</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2776</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2776</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2776</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2776</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2776</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2776</v>
      </c>
      <c r="C486" s="433"/>
      <c r="D486" s="1281"/>
      <c r="E486" s="1281"/>
      <c r="F486" s="1281"/>
      <c r="I486" s="524"/>
    </row>
    <row r="487" spans="1:9">
      <c r="A487" s="433"/>
      <c r="C487" s="433"/>
      <c r="D487" s="1281"/>
      <c r="E487" s="1281"/>
      <c r="F487" s="1281"/>
      <c r="I487" s="524"/>
    </row>
    <row r="488" spans="1:9">
      <c r="A488" s="433"/>
      <c r="B488" s="519" t="s">
        <v>2776</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2776</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2776</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2776</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2776</v>
      </c>
      <c r="D509" s="1310" t="s">
        <v>1243</v>
      </c>
      <c r="E509" s="1310"/>
      <c r="F509" s="1310"/>
      <c r="I509" s="524" t="s">
        <v>2097</v>
      </c>
    </row>
    <row r="510" spans="1:9" ht="14.25">
      <c r="A510" s="518"/>
      <c r="B510" s="518"/>
      <c r="D510" s="480"/>
      <c r="I510" s="524"/>
    </row>
    <row r="511" spans="1:9" ht="14.25">
      <c r="A511" s="518"/>
      <c r="B511" s="519" t="s">
        <v>2776</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2776</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2775</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2775</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2776</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2775</v>
      </c>
      <c r="C543" s="521"/>
      <c r="D543" s="1310" t="s">
        <v>897</v>
      </c>
      <c r="E543" s="1310"/>
      <c r="F543" s="1310"/>
      <c r="I543" s="524" t="s">
        <v>2148</v>
      </c>
    </row>
    <row r="544" spans="1:9" ht="13.7" customHeight="1">
      <c r="A544" s="521"/>
      <c r="B544" s="521"/>
      <c r="C544" s="521"/>
      <c r="D544" s="480"/>
      <c r="I544" s="524"/>
    </row>
    <row r="545" spans="1:9" ht="14.25">
      <c r="A545" s="518"/>
      <c r="B545" s="519" t="s">
        <v>2775</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2775</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2775</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2775</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2776</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2775</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2775</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2775</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2775</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2775</v>
      </c>
      <c r="D583" s="1303" t="s">
        <v>903</v>
      </c>
      <c r="E583" s="1303"/>
      <c r="F583" s="1303"/>
      <c r="I583" s="524"/>
    </row>
    <row r="584" spans="1:9">
      <c r="A584" s="524"/>
      <c r="B584" s="524"/>
      <c r="D584" s="510"/>
      <c r="I584" s="524"/>
    </row>
    <row r="585" spans="1:9">
      <c r="A585" s="524"/>
      <c r="B585" s="519" t="s">
        <v>2775</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2776</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2775</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2776</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2775</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2775</v>
      </c>
      <c r="D615" s="1283" t="s">
        <v>1189</v>
      </c>
      <c r="E615" s="1283"/>
      <c r="F615" s="1283"/>
      <c r="I615" s="524" t="s">
        <v>2153</v>
      </c>
    </row>
    <row r="616" spans="1:9">
      <c r="D616" s="1283"/>
      <c r="E616" s="1283"/>
      <c r="F616" s="1283"/>
      <c r="I616" s="524"/>
    </row>
    <row r="617" spans="1:9">
      <c r="I617" s="524"/>
    </row>
    <row r="618" spans="1:9">
      <c r="B618" s="519" t="s">
        <v>2775</v>
      </c>
      <c r="D618" s="1283" t="s">
        <v>1190</v>
      </c>
      <c r="E618" s="1283"/>
      <c r="F618" s="1283"/>
      <c r="I618" s="524" t="s">
        <v>2106</v>
      </c>
    </row>
    <row r="619" spans="1:9">
      <c r="C619" s="534"/>
      <c r="D619" s="1283"/>
      <c r="E619" s="1283"/>
      <c r="F619" s="1283"/>
      <c r="I619" s="524"/>
    </row>
    <row r="620" spans="1:9">
      <c r="C620" s="534"/>
      <c r="I620" s="524"/>
    </row>
    <row r="621" spans="1:9">
      <c r="B621" s="519" t="s">
        <v>2776</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2775</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2776</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2776</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2776</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2776</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2776</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2776</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2776</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2775</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2775</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2775</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2775</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2776</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2776</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2776</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2776</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2776</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2775</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2775</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2775</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2776</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2776</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2776</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2775</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2776</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2776</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2776</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2776</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2776</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2776</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2775</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2775</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2776</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2776</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2776</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2776</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2776</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2776</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2775</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2776</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2776</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2776</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2776</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2775</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2775</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2776</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2776</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2776</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2776</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2775</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2775</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2776</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2776</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2776</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2776</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2775</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2775</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2776</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2776</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2776</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2776</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2775</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2776</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2776</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2775</v>
      </c>
      <c r="C1050" s="433"/>
      <c r="D1050" s="433" t="s">
        <v>2004</v>
      </c>
      <c r="I1050" s="524" t="s">
        <v>2116</v>
      </c>
    </row>
    <row r="1051" spans="1:9">
      <c r="A1051" s="433"/>
      <c r="B1051" s="433"/>
      <c r="C1051" s="433"/>
      <c r="I1051" s="524"/>
    </row>
    <row r="1052" spans="1:9">
      <c r="A1052" s="433"/>
      <c r="B1052" s="519" t="s">
        <v>2775</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2775</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2776</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2776</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2776</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2776</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2776</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2776</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2775</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2775</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2775</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zoomScale="85" zoomScaleNormal="85" workbookViewId="0">
      <selection activeCell="Y120" sqref="Y120:AK12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5" t="s">
        <v>2638</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45" t="s">
        <v>2639</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101</v>
      </c>
      <c r="C18" s="4"/>
      <c r="D18" s="4"/>
      <c r="E18" s="4"/>
      <c r="F18" s="4"/>
      <c r="G18" s="4"/>
      <c r="H18" s="1524" t="s">
        <v>2640</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2.95" customHeight="1"/>
    <row r="20" spans="1:52" ht="12.95" customHeight="1">
      <c r="A20" s="1856" t="s">
        <v>885</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567" t="s">
        <v>1034</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6">
        <f>'Basis &amp; Credits'!AB56</f>
        <v>3493293</v>
      </c>
      <c r="N26" s="1566"/>
      <c r="O26" s="1566"/>
      <c r="P26" s="1566"/>
      <c r="Q26" s="1566"/>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0</v>
      </c>
      <c r="N27" s="1359"/>
      <c r="O27" s="1359"/>
      <c r="P27" s="1359"/>
      <c r="Q27" s="1359"/>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2511</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0" t="s">
        <v>678</v>
      </c>
      <c r="P33" s="1380"/>
      <c r="Q33" s="1857" t="s">
        <v>2512</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2" t="s">
        <v>2513</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4" t="s">
        <v>2520</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2.9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2.9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4" t="s">
        <v>2521</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2522</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2" t="s">
        <v>2523</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2.9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2.9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4" t="s">
        <v>2524</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2.9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2.9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1" t="s">
        <v>2527</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2" t="s">
        <v>2528</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2.9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2.9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2.9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2.9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2.9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2.9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2"/>
      <c r="H113" s="1412"/>
      <c r="I113" s="3" t="s">
        <v>182</v>
      </c>
      <c r="L113" s="1412"/>
      <c r="M113" s="1412"/>
      <c r="N113" s="1412"/>
      <c r="O113" s="1412"/>
      <c r="P113" s="1572" t="s">
        <v>2532</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c r="D115" s="1557"/>
      <c r="E115" s="1557"/>
      <c r="F115" s="1557"/>
      <c r="G115" s="1557"/>
      <c r="H115" s="1557"/>
      <c r="I115" s="1557"/>
      <c r="J115" s="1557"/>
      <c r="K115" s="155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2"/>
      <c r="Z117" s="1412"/>
      <c r="AA117" s="1412"/>
      <c r="AB117" s="1412"/>
      <c r="AC117" s="1412"/>
      <c r="AD117" s="1412"/>
      <c r="AE117" s="1412"/>
      <c r="AF117" s="1412"/>
      <c r="AG117" s="1412"/>
      <c r="AH117" s="1412"/>
      <c r="AI117" s="1412"/>
      <c r="AJ117" s="1412"/>
      <c r="AK117" s="1412"/>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2"/>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2"/>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0" t="s">
        <v>2641</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2.95" customHeight="1">
      <c r="D154" s="325" t="s">
        <v>442</v>
      </c>
      <c r="O154" s="1385" t="s">
        <v>2642</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69" t="s">
        <v>443</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2.95" customHeight="1">
      <c r="D156" t="s">
        <v>314</v>
      </c>
      <c r="O156" s="1384" t="s">
        <v>2643</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80" t="s">
        <v>2644</v>
      </c>
      <c r="P157" s="1480"/>
      <c r="Q157" s="1480"/>
      <c r="R157" s="1480"/>
      <c r="S157" s="1480"/>
      <c r="T157" s="1480"/>
      <c r="U157" s="1480"/>
      <c r="V157" s="1480"/>
      <c r="W157" s="1480"/>
      <c r="X157" s="1480"/>
      <c r="Y157" s="8"/>
      <c r="Z157" s="8"/>
      <c r="AA157" s="8"/>
      <c r="AB157" s="8"/>
      <c r="AC157" s="8"/>
      <c r="AD157" s="8"/>
      <c r="AE157" s="8"/>
      <c r="AF157" s="8"/>
      <c r="BN157" s="23" t="s">
        <v>645</v>
      </c>
      <c r="BT157" t="s">
        <v>485</v>
      </c>
    </row>
    <row r="158" spans="1:72" ht="12.95" customHeight="1">
      <c r="D158" t="s">
        <v>316</v>
      </c>
      <c r="O158" s="1570">
        <v>95337</v>
      </c>
      <c r="P158" s="1570"/>
      <c r="Q158" s="1570"/>
      <c r="R158" s="1570"/>
      <c r="S158" s="9"/>
      <c r="T158" s="9"/>
      <c r="U158" s="9"/>
      <c r="V158" s="9"/>
      <c r="W158" s="9"/>
      <c r="X158" s="9"/>
      <c r="Y158" s="9"/>
      <c r="Z158" s="9"/>
      <c r="AA158" s="9"/>
      <c r="AB158" s="9"/>
      <c r="AC158" s="9"/>
      <c r="AD158" s="9"/>
      <c r="AE158" s="9"/>
      <c r="AF158" s="9"/>
      <c r="BN158" s="23" t="s">
        <v>646</v>
      </c>
      <c r="BT158" t="s">
        <v>486</v>
      </c>
    </row>
    <row r="159" spans="1:72" ht="12.95" customHeight="1">
      <c r="D159" t="s">
        <v>317</v>
      </c>
      <c r="O159" s="1546" t="s">
        <v>2645</v>
      </c>
      <c r="P159" s="1565"/>
      <c r="Q159" s="1565"/>
      <c r="R159" s="1565"/>
      <c r="S159" s="1565"/>
      <c r="T159" s="1565"/>
      <c r="V159" s="97" t="s">
        <v>272</v>
      </c>
      <c r="W159" s="1571"/>
      <c r="X159" s="1571"/>
      <c r="Y159" s="10"/>
      <c r="Z159" s="10"/>
      <c r="AA159" s="10"/>
      <c r="AB159" s="10"/>
      <c r="AC159" s="10"/>
      <c r="AD159" s="10"/>
      <c r="AE159" s="10"/>
      <c r="AF159" s="10"/>
      <c r="BN159" s="23" t="s">
        <v>340</v>
      </c>
      <c r="BT159" t="s">
        <v>487</v>
      </c>
    </row>
    <row r="160" spans="1:72" ht="12.95" customHeight="1">
      <c r="D160" t="s">
        <v>318</v>
      </c>
      <c r="O160" s="1565"/>
      <c r="P160" s="1565"/>
      <c r="Q160" s="1565"/>
      <c r="R160" s="1565"/>
      <c r="S160" s="1565"/>
      <c r="T160" s="1565"/>
      <c r="U160" s="10"/>
      <c r="V160" s="10"/>
      <c r="W160" s="10"/>
      <c r="X160" s="10"/>
      <c r="Y160" s="10"/>
      <c r="Z160" s="10"/>
      <c r="AA160" s="10"/>
      <c r="AB160" s="10"/>
      <c r="AC160" s="10"/>
      <c r="AD160" s="10"/>
      <c r="AE160" s="10"/>
      <c r="AF160" s="10"/>
      <c r="BN160" s="23" t="s">
        <v>669</v>
      </c>
      <c r="BT160" t="s">
        <v>488</v>
      </c>
    </row>
    <row r="161" spans="1:72" ht="12.95" customHeight="1">
      <c r="D161" t="s">
        <v>319</v>
      </c>
      <c r="O161" s="1539" t="s">
        <v>2646</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8" t="s">
        <v>2627</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9" t="s">
        <v>548</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682</v>
      </c>
      <c r="BT169" t="s">
        <v>497</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8" t="s">
        <v>372</v>
      </c>
      <c r="K173" s="1568"/>
      <c r="L173" s="1568"/>
      <c r="M173" s="1568"/>
      <c r="N173" s="1568"/>
      <c r="O173" s="1568"/>
      <c r="P173" s="1568"/>
      <c r="Q173" s="1568"/>
      <c r="R173" s="1568"/>
      <c r="S173" s="1568"/>
      <c r="U173" s="25"/>
      <c r="X173" s="25"/>
      <c r="BB173" s="3" t="s">
        <v>308</v>
      </c>
      <c r="BN173" s="23" t="s">
        <v>215</v>
      </c>
      <c r="BT173" t="s">
        <v>501</v>
      </c>
    </row>
    <row r="174" spans="1:72" ht="12.95" customHeight="1">
      <c r="C174" s="24"/>
      <c r="D174" s="3" t="s">
        <v>1309</v>
      </c>
      <c r="J174" s="1384" t="s">
        <v>2422</v>
      </c>
      <c r="K174" s="1384"/>
      <c r="L174" s="1384"/>
      <c r="M174" s="1384"/>
      <c r="N174" s="1384"/>
      <c r="O174" s="1384"/>
      <c r="P174" s="1384"/>
      <c r="Q174" s="1384"/>
      <c r="R174" s="1384"/>
      <c r="S174" s="1384"/>
      <c r="T174" s="1384"/>
      <c r="U174" s="1384"/>
      <c r="V174" s="1384"/>
      <c r="W174" s="1384"/>
      <c r="X174" s="1384"/>
      <c r="Y174" s="1384"/>
      <c r="Z174" s="1384"/>
      <c r="AA174" s="1384"/>
      <c r="AB174" s="1384"/>
      <c r="BB174" t="s">
        <v>2275</v>
      </c>
      <c r="BN174" s="23" t="s">
        <v>217</v>
      </c>
      <c r="BT174" t="s">
        <v>502</v>
      </c>
    </row>
    <row r="175" spans="1:72" ht="12.95" customHeight="1">
      <c r="C175" s="8"/>
      <c r="D175" s="3" t="s">
        <v>323</v>
      </c>
      <c r="O175" s="27"/>
      <c r="U175" s="1380" t="s">
        <v>678</v>
      </c>
      <c r="V175" s="1380"/>
      <c r="BB175" t="s">
        <v>2239</v>
      </c>
      <c r="BN175" s="23" t="s">
        <v>218</v>
      </c>
      <c r="BT175" t="s">
        <v>503</v>
      </c>
    </row>
    <row r="176" spans="1:72" ht="12.95" customHeight="1">
      <c r="C176" s="8"/>
      <c r="D176" s="26"/>
      <c r="E176" t="s">
        <v>305</v>
      </c>
      <c r="O176" s="27"/>
      <c r="P176" t="s">
        <v>2397</v>
      </c>
      <c r="T176" s="27" t="s">
        <v>306</v>
      </c>
      <c r="U176" s="1561"/>
      <c r="V176" s="1561"/>
      <c r="W176" s="1" t="s">
        <v>307</v>
      </c>
      <c r="X176" s="1553"/>
      <c r="Y176" s="1553"/>
      <c r="BB176" t="s">
        <v>2276</v>
      </c>
      <c r="BN176" s="23" t="s">
        <v>220</v>
      </c>
      <c r="BT176" t="s">
        <v>504</v>
      </c>
    </row>
    <row r="177" spans="1:72" ht="12.95" customHeight="1">
      <c r="C177" s="24"/>
      <c r="D177" t="s">
        <v>250</v>
      </c>
      <c r="R177" s="1380" t="s">
        <v>678</v>
      </c>
      <c r="S177" s="1380"/>
      <c r="BB177" t="s">
        <v>2581</v>
      </c>
      <c r="BN177" s="23" t="s">
        <v>221</v>
      </c>
      <c r="BT177" t="s">
        <v>505</v>
      </c>
    </row>
    <row r="178" spans="1:72" ht="12.95" customHeight="1">
      <c r="C178" s="24"/>
      <c r="D178" s="3" t="s">
        <v>1310</v>
      </c>
      <c r="AA178" t="s">
        <v>2397</v>
      </c>
      <c r="AE178" s="27" t="s">
        <v>306</v>
      </c>
      <c r="AF178" s="1764"/>
      <c r="AG178" s="1764"/>
      <c r="AH178" s="1" t="s">
        <v>307</v>
      </c>
      <c r="AI178" s="1532"/>
      <c r="AJ178" s="1532"/>
      <c r="AK178" s="1532"/>
      <c r="BB178" t="s">
        <v>2582</v>
      </c>
      <c r="BN178" s="23" t="s">
        <v>222</v>
      </c>
      <c r="BT178" t="s">
        <v>53</v>
      </c>
    </row>
    <row r="179" spans="1:72" ht="12.95" customHeight="1">
      <c r="C179" s="24"/>
      <c r="BN179" s="23" t="s">
        <v>223</v>
      </c>
      <c r="BT179" t="s">
        <v>54</v>
      </c>
    </row>
    <row r="180" spans="1:72" ht="12.95" customHeight="1">
      <c r="C180" s="24"/>
      <c r="D180" t="s">
        <v>2398</v>
      </c>
      <c r="X180" s="1380" t="s">
        <v>678</v>
      </c>
      <c r="Y180" s="138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7" t="str">
        <f>H18</f>
        <v>1241 North Main</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596</v>
      </c>
      <c r="BN184" s="23" t="s">
        <v>231</v>
      </c>
      <c r="BT184" t="s">
        <v>62</v>
      </c>
    </row>
    <row r="185" spans="1:72" ht="12.95" customHeight="1">
      <c r="C185" s="21"/>
      <c r="D185" t="s">
        <v>588</v>
      </c>
      <c r="I185" s="1454" t="s">
        <v>2647</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597</v>
      </c>
      <c r="BN185" s="23" t="s">
        <v>232</v>
      </c>
      <c r="BT185" t="s">
        <v>63</v>
      </c>
    </row>
    <row r="186" spans="1:72" ht="12.95" customHeight="1">
      <c r="C186" s="21"/>
      <c r="E186" t="s">
        <v>168</v>
      </c>
      <c r="BN186" s="23" t="s">
        <v>233</v>
      </c>
      <c r="BT186" t="s">
        <v>64</v>
      </c>
    </row>
    <row r="187" spans="1:72" ht="12.95"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2.95"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2.95" customHeight="1">
      <c r="C189" s="21"/>
      <c r="D189" t="s">
        <v>589</v>
      </c>
      <c r="I189" s="1524" t="s">
        <v>2648</v>
      </c>
      <c r="J189" s="1384"/>
      <c r="K189" s="1384"/>
      <c r="L189" s="1384"/>
      <c r="M189" s="1384"/>
      <c r="N189" s="1384"/>
      <c r="O189" s="1384"/>
      <c r="P189" s="1384"/>
      <c r="Q189" t="s">
        <v>591</v>
      </c>
      <c r="T189" s="1384" t="s">
        <v>741</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54">
        <v>95336</v>
      </c>
      <c r="J190" s="1454"/>
      <c r="K190" s="1454"/>
      <c r="L190" s="1454"/>
      <c r="M190" s="1454"/>
      <c r="N190" s="1454"/>
      <c r="O190" t="s">
        <v>594</v>
      </c>
      <c r="T190" s="1562">
        <v>51.26</v>
      </c>
      <c r="U190" s="1562"/>
      <c r="V190" s="1562"/>
      <c r="W190" s="1562"/>
      <c r="X190" s="1562"/>
      <c r="Y190" s="1562"/>
      <c r="Z190" s="1562"/>
      <c r="AA190" s="1562"/>
      <c r="AB190" s="1562"/>
      <c r="AC190" s="1562"/>
      <c r="AD190" s="1562"/>
      <c r="AE190" s="1562"/>
      <c r="BC190" t="s">
        <v>1066</v>
      </c>
      <c r="BH190" t="s">
        <v>1066</v>
      </c>
      <c r="BN190" s="23" t="s">
        <v>644</v>
      </c>
      <c r="BT190" t="s">
        <v>68</v>
      </c>
    </row>
    <row r="191" spans="1:72" ht="12.95" customHeight="1">
      <c r="C191" s="21"/>
      <c r="D191" t="s">
        <v>471</v>
      </c>
      <c r="N191" s="1564" t="s">
        <v>2649</v>
      </c>
      <c r="O191" s="1477"/>
      <c r="P191" s="1477"/>
      <c r="Q191" s="1477"/>
      <c r="R191" s="1477"/>
      <c r="S191" s="1477"/>
      <c r="T191" s="1477"/>
      <c r="U191" s="1477"/>
      <c r="V191" s="1477"/>
      <c r="W191" s="1477"/>
      <c r="X191" s="1477"/>
      <c r="Y191" s="1477"/>
      <c r="Z191" s="1477"/>
      <c r="AA191" s="1477"/>
      <c r="AB191" s="1477"/>
      <c r="AC191" s="1477"/>
      <c r="AD191" s="1477"/>
      <c r="AE191" s="1477"/>
      <c r="BC191" t="s">
        <v>1065</v>
      </c>
      <c r="BH191" t="s">
        <v>1065</v>
      </c>
      <c r="BN191" s="23" t="s">
        <v>698</v>
      </c>
      <c r="BT191" t="s">
        <v>737</v>
      </c>
    </row>
    <row r="192" spans="1:72" ht="12.95"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1068</v>
      </c>
      <c r="BH192" s="3" t="s">
        <v>1476</v>
      </c>
      <c r="BN192" s="23" t="s">
        <v>699</v>
      </c>
      <c r="BT192" t="s">
        <v>738</v>
      </c>
    </row>
    <row r="193" spans="1:74" ht="12.95" customHeight="1">
      <c r="C193" s="21"/>
      <c r="D193" t="s">
        <v>2399</v>
      </c>
      <c r="M193" s="40"/>
      <c r="N193" s="928"/>
      <c r="O193" s="928"/>
      <c r="P193" s="928"/>
      <c r="Q193" s="928"/>
      <c r="R193" s="928"/>
      <c r="S193" s="928"/>
      <c r="T193" s="1550" t="s">
        <v>2239</v>
      </c>
      <c r="U193" s="1550"/>
      <c r="V193" s="1550"/>
      <c r="W193" s="1550"/>
      <c r="X193" s="1550"/>
      <c r="Y193" s="1550"/>
      <c r="Z193" s="1550"/>
      <c r="AA193" s="1550"/>
      <c r="AB193" s="1550"/>
      <c r="AC193" s="1550"/>
      <c r="AD193" s="1550"/>
      <c r="AE193" s="1550"/>
      <c r="AF193" s="1550"/>
      <c r="AG193" s="1550"/>
      <c r="AH193" s="1550"/>
      <c r="AI193" s="1550"/>
      <c r="BC193" t="s">
        <v>1067</v>
      </c>
      <c r="BH193" s="3" t="s">
        <v>1743</v>
      </c>
      <c r="BN193" s="23" t="s">
        <v>700</v>
      </c>
      <c r="BT193" t="s">
        <v>739</v>
      </c>
    </row>
    <row r="194" spans="1:74" ht="12.95" customHeight="1">
      <c r="C194" s="21"/>
      <c r="D194" s="3" t="s">
        <v>2583</v>
      </c>
      <c r="M194" s="40"/>
      <c r="N194" s="928"/>
      <c r="O194" s="928"/>
      <c r="P194" s="928"/>
      <c r="Q194" s="928"/>
      <c r="R194" s="928"/>
      <c r="S194" s="928"/>
      <c r="AH194" s="1380" t="s">
        <v>678</v>
      </c>
      <c r="AI194" s="1380"/>
      <c r="BC194" t="s">
        <v>1476</v>
      </c>
      <c r="BN194" s="23" t="s">
        <v>701</v>
      </c>
      <c r="BT194" t="s">
        <v>740</v>
      </c>
    </row>
    <row r="195" spans="1:74" ht="12.95" customHeight="1">
      <c r="C195" s="21"/>
      <c r="D195" t="s">
        <v>332</v>
      </c>
      <c r="T195" s="1380" t="s">
        <v>554</v>
      </c>
      <c r="U195" s="1380"/>
      <c r="W195" t="s">
        <v>694</v>
      </c>
      <c r="AH195" s="1380">
        <v>9</v>
      </c>
      <c r="AI195" s="1380"/>
      <c r="BC195" t="s">
        <v>2049</v>
      </c>
      <c r="BN195" s="23" t="s">
        <v>243</v>
      </c>
      <c r="BT195" t="s">
        <v>741</v>
      </c>
    </row>
    <row r="196" spans="1:74" ht="12.95" customHeight="1">
      <c r="C196" s="21"/>
      <c r="D196" t="s">
        <v>387</v>
      </c>
      <c r="T196" s="1400" t="s">
        <v>678</v>
      </c>
      <c r="U196" s="1400"/>
      <c r="W196" t="s">
        <v>695</v>
      </c>
      <c r="AH196" s="1380">
        <v>9</v>
      </c>
      <c r="AI196" s="1380"/>
      <c r="BN196" s="23" t="s">
        <v>244</v>
      </c>
      <c r="BT196" t="s">
        <v>69</v>
      </c>
    </row>
    <row r="197" spans="1:74" ht="12.95" customHeight="1">
      <c r="C197" s="21"/>
      <c r="D197" s="3" t="s">
        <v>169</v>
      </c>
      <c r="T197" s="1400" t="s">
        <v>678</v>
      </c>
      <c r="U197" s="1400"/>
      <c r="W197" t="s">
        <v>696</v>
      </c>
      <c r="AH197" s="1380">
        <v>5</v>
      </c>
      <c r="AI197" s="138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00"/>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7" t="s">
        <v>386</v>
      </c>
      <c r="E204" s="1507"/>
      <c r="F204" s="1507"/>
      <c r="G204" s="1507"/>
      <c r="H204" s="1507"/>
      <c r="I204" s="1507"/>
      <c r="J204" s="1507"/>
      <c r="K204" s="1507"/>
      <c r="L204" s="1507"/>
      <c r="M204" s="1507"/>
      <c r="P204" s="1559">
        <f>M26</f>
        <v>3493293</v>
      </c>
      <c r="Q204" s="1560"/>
      <c r="R204" s="1560"/>
      <c r="S204" s="1560"/>
      <c r="T204" s="1560"/>
      <c r="U204" s="1560"/>
      <c r="Z204" s="1574" t="s">
        <v>1291</v>
      </c>
      <c r="AA204" s="1574"/>
      <c r="AB204" s="1574"/>
      <c r="AC204" s="1574"/>
      <c r="AD204" s="1574"/>
      <c r="AE204" s="1574"/>
      <c r="AF204" s="1574"/>
      <c r="BC204" t="s">
        <v>619</v>
      </c>
      <c r="BN204" s="23" t="s">
        <v>713</v>
      </c>
      <c r="BT204" s="32" t="s">
        <v>198</v>
      </c>
      <c r="BU204" s="14"/>
    </row>
    <row r="205" spans="1:74" ht="12.95" customHeight="1">
      <c r="C205" s="21"/>
      <c r="D205" s="1573" t="s">
        <v>1356</v>
      </c>
      <c r="E205" s="1507"/>
      <c r="F205" s="1507"/>
      <c r="G205" s="1507"/>
      <c r="H205" s="1507"/>
      <c r="I205" s="1507"/>
      <c r="J205" s="1507"/>
      <c r="K205" s="1507"/>
      <c r="L205" s="1507"/>
      <c r="M205" s="1507"/>
      <c r="P205" s="1560">
        <f>M27</f>
        <v>0</v>
      </c>
      <c r="Q205" s="1560"/>
      <c r="R205" s="1560"/>
      <c r="S205" s="1560"/>
      <c r="T205" s="1560"/>
      <c r="U205" s="1560"/>
      <c r="V205" s="28"/>
      <c r="W205" s="3" t="s">
        <v>1911</v>
      </c>
      <c r="Z205" s="1574"/>
      <c r="AA205" s="1574"/>
      <c r="AB205" s="1574"/>
      <c r="AC205" s="1574"/>
      <c r="AD205" s="1574"/>
      <c r="AE205" s="1574"/>
      <c r="AF205" s="1574"/>
      <c r="AG205" t="s">
        <v>1357</v>
      </c>
      <c r="AP205" s="1380" t="s">
        <v>678</v>
      </c>
      <c r="AQ205" s="138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80" t="s">
        <v>2650</v>
      </c>
      <c r="E208" s="1480"/>
      <c r="F208" s="1480"/>
      <c r="G208" s="1480"/>
      <c r="H208" s="1480"/>
      <c r="I208" s="1480"/>
      <c r="J208" s="1480"/>
      <c r="K208" s="1480"/>
      <c r="L208" s="1480"/>
      <c r="M208" s="1480"/>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0" t="s">
        <v>1066</v>
      </c>
      <c r="E211" s="1480"/>
      <c r="F211" s="1480"/>
      <c r="G211" s="1480"/>
      <c r="H211" s="1480"/>
      <c r="I211" s="1480"/>
      <c r="J211" s="1480"/>
      <c r="K211" s="1480"/>
      <c r="L211" s="1480"/>
      <c r="M211" s="1480"/>
      <c r="BN211" s="23" t="s">
        <v>129</v>
      </c>
      <c r="BT211" s="32" t="s">
        <v>130</v>
      </c>
    </row>
    <row r="212" spans="1:72" ht="12.95" customHeight="1">
      <c r="C212" s="21"/>
      <c r="D212" t="s">
        <v>1353</v>
      </c>
      <c r="Y212" s="1380"/>
      <c r="Z212" s="1380"/>
      <c r="AB212" s="1548">
        <f>IFERROR(Y212/AG440,"")</f>
        <v>0</v>
      </c>
      <c r="AC212" s="1549"/>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55" t="s">
        <v>600</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539</v>
      </c>
      <c r="BI214" t="s">
        <v>2637</v>
      </c>
      <c r="BN214" s="23" t="s">
        <v>327</v>
      </c>
      <c r="BT214" s="32" t="s">
        <v>206</v>
      </c>
    </row>
    <row r="215" spans="1:72" ht="12.95" customHeight="1">
      <c r="D215" s="3" t="s">
        <v>1767</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0" t="s">
        <v>1091</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2.95" customHeight="1">
      <c r="A221" s="2"/>
      <c r="B221" s="14"/>
      <c r="C221" s="2"/>
      <c r="AU221" s="95"/>
      <c r="AV221" s="95"/>
      <c r="AW221" s="95"/>
      <c r="AX221" s="95"/>
      <c r="AY221" s="95"/>
      <c r="BA221" s="3"/>
    </row>
    <row r="222" spans="1:72" ht="12.95" customHeight="1">
      <c r="A222" s="1659" t="s">
        <v>549</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554</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3" t="str">
        <f>H16</f>
        <v>Bold Manteca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24" t="s">
        <v>2651</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547</v>
      </c>
      <c r="BG233" s="259">
        <f>IF(AND(AND($M$249="nonprofit",$M$257="for profit",$M$265="nonprofit")),2,0)</f>
        <v>0</v>
      </c>
    </row>
    <row r="234" spans="1:69" ht="12.95" customHeight="1">
      <c r="D234" s="4" t="s">
        <v>589</v>
      </c>
      <c r="E234" s="4"/>
      <c r="M234" s="1524" t="s">
        <v>503</v>
      </c>
      <c r="N234" s="1480"/>
      <c r="O234" s="1480"/>
      <c r="P234" s="1480"/>
      <c r="Q234" s="1480"/>
      <c r="R234" s="1480"/>
      <c r="S234" s="1480"/>
      <c r="T234" s="1480"/>
      <c r="V234" s="33" t="s">
        <v>86</v>
      </c>
      <c r="W234" s="1481" t="s">
        <v>2652</v>
      </c>
      <c r="X234" s="1385"/>
      <c r="Y234" s="4" t="s">
        <v>592</v>
      </c>
      <c r="AC234" s="1480">
        <v>90032</v>
      </c>
      <c r="AD234" s="1480"/>
      <c r="AE234" s="148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24" t="s">
        <v>2653</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2.95" customHeight="1">
      <c r="D236" s="4" t="s">
        <v>88</v>
      </c>
      <c r="E236" s="4"/>
      <c r="F236" s="4"/>
      <c r="M236" s="1556" t="s">
        <v>2654</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2.95" customHeight="1">
      <c r="D237" s="4" t="s">
        <v>90</v>
      </c>
      <c r="E237" s="4"/>
      <c r="F237" s="4"/>
      <c r="M237" s="1539" t="s">
        <v>2655</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4" t="s">
        <v>537</v>
      </c>
      <c r="N238" s="1454"/>
      <c r="O238" s="1454"/>
      <c r="P238" s="1454"/>
      <c r="Q238" s="1454"/>
      <c r="R238" s="1454"/>
      <c r="S238" s="1454"/>
      <c r="T238" s="1454"/>
      <c r="U238" s="218" t="s">
        <v>922</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5" t="s">
        <v>2656</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2657</v>
      </c>
      <c r="AG243" s="1541"/>
      <c r="AH243" s="1541"/>
      <c r="AI243" s="1541"/>
      <c r="AJ243" s="1541"/>
      <c r="AK243" s="154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4" t="s">
        <v>2651</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24" t="s">
        <v>503</v>
      </c>
      <c r="N245" s="1480"/>
      <c r="O245" s="1480"/>
      <c r="P245" s="1480"/>
      <c r="Q245" s="1480"/>
      <c r="R245" s="1480"/>
      <c r="S245" s="1480"/>
      <c r="T245" s="1480"/>
      <c r="V245" s="33" t="s">
        <v>86</v>
      </c>
      <c r="W245" s="1481" t="s">
        <v>2652</v>
      </c>
      <c r="X245" s="1385"/>
      <c r="Y245" s="4" t="s">
        <v>592</v>
      </c>
      <c r="AC245" s="1480">
        <v>90032</v>
      </c>
      <c r="AD245" s="1480"/>
      <c r="AE245" s="1480"/>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524" t="s">
        <v>2653</v>
      </c>
      <c r="N246" s="1480"/>
      <c r="O246" s="1480"/>
      <c r="P246" s="1480"/>
      <c r="Q246" s="1480"/>
      <c r="R246" s="1480"/>
      <c r="S246" s="1480"/>
      <c r="T246" s="1480"/>
      <c r="U246" s="1480"/>
      <c r="V246" s="1480"/>
      <c r="W246" s="1480"/>
      <c r="X246" s="1480"/>
      <c r="Y246" s="1480"/>
      <c r="Z246" s="1480"/>
      <c r="AA246" s="1480"/>
      <c r="AB246" s="1480"/>
      <c r="AC246" s="1480"/>
      <c r="AD246" s="1480"/>
      <c r="AE246" s="1480"/>
      <c r="AH246" s="1471">
        <v>5.1E-5</v>
      </c>
      <c r="AI246" s="1472"/>
      <c r="AJ246" s="1472"/>
      <c r="AK246" s="147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56" t="s">
        <v>2654</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9" t="s">
        <v>2655</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4" t="s">
        <v>543</v>
      </c>
      <c r="N249" s="1454"/>
      <c r="O249" s="1454"/>
      <c r="P249" s="1454"/>
      <c r="Q249" s="1454"/>
      <c r="R249" s="1454"/>
      <c r="S249" s="1454"/>
      <c r="T249" s="1454"/>
      <c r="U249" s="218" t="s">
        <v>922</v>
      </c>
      <c r="V249" s="218"/>
      <c r="W249" s="218"/>
      <c r="X249" s="218"/>
      <c r="Y249" s="218"/>
      <c r="Z249" s="218"/>
      <c r="AA249" s="1542" t="s">
        <v>2658</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1"/>
      <c r="N251" s="1541"/>
      <c r="O251" s="1541"/>
      <c r="P251" s="1541"/>
      <c r="Q251" s="1541"/>
      <c r="R251" s="1541"/>
      <c r="S251" s="1541"/>
      <c r="T251" s="1541"/>
      <c r="U251" s="1541"/>
      <c r="V251" s="1541"/>
      <c r="W251" s="1541"/>
      <c r="X251" s="1541"/>
      <c r="Y251" s="1541"/>
      <c r="Z251" s="1541"/>
      <c r="AA251" s="1541"/>
      <c r="AB251" s="1541"/>
      <c r="AC251" s="1541"/>
      <c r="AD251" s="1541"/>
      <c r="AE251" s="1541"/>
      <c r="AF251" s="1541" t="s">
        <v>308</v>
      </c>
      <c r="AG251" s="1541"/>
      <c r="AH251" s="1541"/>
      <c r="AI251" s="1541"/>
      <c r="AJ251" s="1541"/>
      <c r="AK251" s="1541"/>
      <c r="AU251" s="4"/>
      <c r="AV251" s="4"/>
      <c r="AW251" s="4"/>
      <c r="AX251" s="4"/>
      <c r="AY251" s="4"/>
      <c r="BN251" s="34"/>
    </row>
    <row r="252" spans="1:71" ht="12.95" customHeight="1">
      <c r="A252" s="19"/>
      <c r="B252" s="4"/>
      <c r="C252" s="4"/>
      <c r="D252" s="4" t="s">
        <v>85</v>
      </c>
      <c r="E252" s="4"/>
      <c r="F252" s="4"/>
      <c r="G252" s="4"/>
      <c r="H252" s="4"/>
      <c r="I252" s="4"/>
      <c r="J252" s="4"/>
      <c r="K252" s="4"/>
      <c r="L252" s="4"/>
      <c r="M252" s="1480"/>
      <c r="N252" s="1480"/>
      <c r="O252" s="1480"/>
      <c r="P252" s="1480"/>
      <c r="Q252" s="1480"/>
      <c r="R252" s="1480"/>
      <c r="S252" s="1480"/>
      <c r="T252" s="1480"/>
      <c r="U252" s="1480"/>
      <c r="V252" s="1480"/>
      <c r="W252" s="1480"/>
      <c r="X252" s="1480"/>
      <c r="Y252" s="1480"/>
      <c r="Z252" s="1480"/>
      <c r="AA252" s="1480"/>
      <c r="AB252" s="1480"/>
      <c r="AC252" s="1480"/>
      <c r="AD252" s="1480"/>
      <c r="AE252" s="1480"/>
      <c r="AF252" s="3" t="s">
        <v>1286</v>
      </c>
      <c r="AL252" s="4"/>
      <c r="AM252" s="4"/>
      <c r="AN252" s="4"/>
      <c r="AO252" s="4"/>
      <c r="AP252" s="4"/>
      <c r="AQ252" s="4"/>
      <c r="AR252" s="4"/>
      <c r="AS252" s="4"/>
      <c r="AT252" s="4"/>
      <c r="BN252" s="34"/>
    </row>
    <row r="253" spans="1:71" ht="12.95" customHeight="1">
      <c r="A253" s="19"/>
      <c r="B253" s="4"/>
      <c r="C253" s="4"/>
      <c r="D253" s="4" t="s">
        <v>589</v>
      </c>
      <c r="E253" s="4"/>
      <c r="M253" s="1480"/>
      <c r="N253" s="1480"/>
      <c r="O253" s="1480"/>
      <c r="P253" s="1480"/>
      <c r="Q253" s="1480"/>
      <c r="R253" s="1480"/>
      <c r="S253" s="1480"/>
      <c r="T253" s="1480"/>
      <c r="V253" s="33" t="s">
        <v>86</v>
      </c>
      <c r="W253" s="1385"/>
      <c r="X253" s="1385"/>
      <c r="Y253" s="4" t="s">
        <v>592</v>
      </c>
      <c r="AC253" s="1480"/>
      <c r="AD253" s="1480"/>
      <c r="AE253" s="1480"/>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0"/>
      <c r="N254" s="1480"/>
      <c r="O254" s="1480"/>
      <c r="P254" s="1480"/>
      <c r="Q254" s="1480"/>
      <c r="R254" s="1480"/>
      <c r="S254" s="1480"/>
      <c r="T254" s="1480"/>
      <c r="U254" s="1480"/>
      <c r="V254" s="1480"/>
      <c r="W254" s="1480"/>
      <c r="X254" s="1480"/>
      <c r="Y254" s="1480"/>
      <c r="Z254" s="1480"/>
      <c r="AA254" s="1480"/>
      <c r="AB254" s="1480"/>
      <c r="AC254" s="1480"/>
      <c r="AD254" s="1480"/>
      <c r="AE254" s="1480"/>
      <c r="AH254" s="1472"/>
      <c r="AI254" s="1472"/>
      <c r="AJ254" s="1472"/>
      <c r="AK254" s="1472"/>
      <c r="AL254" s="4"/>
      <c r="AM254" s="4"/>
      <c r="AN254" s="4"/>
      <c r="AO254" s="4"/>
      <c r="AP254" s="4"/>
      <c r="AQ254" s="4"/>
      <c r="AR254" s="4"/>
      <c r="AS254" s="4"/>
      <c r="AT254" s="4"/>
    </row>
    <row r="255" spans="1:71" ht="12.95" customHeight="1">
      <c r="A255" s="19"/>
      <c r="B255" s="4"/>
      <c r="C255" s="4"/>
      <c r="D255" s="4" t="s">
        <v>88</v>
      </c>
      <c r="E255" s="4"/>
      <c r="F255" s="4"/>
      <c r="M255" s="1386"/>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4" t="s">
        <v>308</v>
      </c>
      <c r="N257" s="1454"/>
      <c r="O257" s="1454"/>
      <c r="P257" s="1454"/>
      <c r="Q257" s="1454"/>
      <c r="R257" s="1454"/>
      <c r="S257" s="1454"/>
      <c r="T257" s="1454"/>
      <c r="U257" s="218" t="s">
        <v>922</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308</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0"/>
      <c r="N261" s="1480"/>
      <c r="O261" s="1480"/>
      <c r="P261" s="1480"/>
      <c r="Q261" s="1480"/>
      <c r="R261" s="1480"/>
      <c r="S261" s="1480"/>
      <c r="T261" s="1480"/>
      <c r="V261" s="33" t="s">
        <v>86</v>
      </c>
      <c r="W261" s="1385"/>
      <c r="X261" s="1385"/>
      <c r="Y261" s="4" t="s">
        <v>592</v>
      </c>
      <c r="AC261" s="1480"/>
      <c r="AD261" s="1480"/>
      <c r="AE261" s="1480"/>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2"/>
      <c r="AI262" s="1472"/>
      <c r="AJ262" s="1472"/>
      <c r="AK262" s="147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4" t="s">
        <v>308</v>
      </c>
      <c r="N265" s="1454"/>
      <c r="O265" s="1454"/>
      <c r="P265" s="1454"/>
      <c r="Q265" s="1454"/>
      <c r="R265" s="1454"/>
      <c r="S265" s="1454"/>
      <c r="T265" s="1454"/>
      <c r="U265" s="218" t="s">
        <v>922</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4" t="str">
        <f>IFERROR(BO245,"")</f>
        <v>Nonprofit</v>
      </c>
      <c r="U267" s="1544"/>
      <c r="V267" s="1544"/>
      <c r="W267" s="1544"/>
      <c r="X267" s="1544"/>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0" t="s">
        <v>281</v>
      </c>
      <c r="E270" s="1480"/>
      <c r="F270" s="1480"/>
      <c r="G270" s="1480"/>
      <c r="H270" s="1480"/>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5" t="s">
        <v>2658</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2651</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4" t="s">
        <v>503</v>
      </c>
      <c r="M276" s="1480"/>
      <c r="N276" s="1480"/>
      <c r="O276" s="1480"/>
      <c r="P276" s="1480"/>
      <c r="Q276" s="1480"/>
      <c r="R276" s="1480"/>
      <c r="S276" s="1480"/>
      <c r="U276" s="33" t="s">
        <v>86</v>
      </c>
      <c r="V276" s="1481" t="s">
        <v>2652</v>
      </c>
      <c r="W276" s="1385"/>
      <c r="X276" s="4" t="s">
        <v>592</v>
      </c>
      <c r="AB276" s="1480">
        <v>90032</v>
      </c>
      <c r="AC276" s="1480"/>
      <c r="AD276" s="148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2653</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2.95" customHeight="1">
      <c r="D278" s="4" t="s">
        <v>88</v>
      </c>
      <c r="E278" s="4"/>
      <c r="F278" s="4"/>
      <c r="L278" s="1556" t="s">
        <v>2654</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39" t="s">
        <v>2655</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632</v>
      </c>
      <c r="E280" s="3"/>
      <c r="F280" s="3"/>
      <c r="G280" s="3"/>
      <c r="H280" s="3"/>
      <c r="I280" s="3"/>
      <c r="L280" s="1481" t="s">
        <v>2659</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9" t="s">
        <v>550</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2658</v>
      </c>
      <c r="I287" s="1384"/>
      <c r="J287" s="1384"/>
      <c r="K287" s="1384"/>
      <c r="L287" s="1384"/>
      <c r="M287" s="1384"/>
      <c r="N287" s="1384"/>
      <c r="O287" s="1384"/>
      <c r="P287" s="1384"/>
      <c r="Q287" s="1384"/>
      <c r="R287" s="1384"/>
      <c r="T287" s="3" t="s">
        <v>576</v>
      </c>
      <c r="V287" s="3"/>
      <c r="W287" s="3"/>
      <c r="X287" s="3"/>
      <c r="Y287" s="3"/>
      <c r="AA287" s="1384" t="s">
        <v>2663</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54" t="s">
        <v>2660</v>
      </c>
      <c r="I288" s="1454"/>
      <c r="J288" s="1454"/>
      <c r="K288" s="1454"/>
      <c r="L288" s="1454"/>
      <c r="M288" s="1454"/>
      <c r="N288" s="1454"/>
      <c r="O288" s="1454"/>
      <c r="P288" s="1454"/>
      <c r="Q288" s="1454"/>
      <c r="R288" s="1454"/>
      <c r="T288" s="3" t="s">
        <v>480</v>
      </c>
      <c r="V288" s="3"/>
      <c r="W288" s="3"/>
      <c r="X288" s="3"/>
      <c r="Y288" s="3"/>
      <c r="AA288" s="1454" t="s">
        <v>2664</v>
      </c>
      <c r="AB288" s="1454"/>
      <c r="AC288" s="1454"/>
      <c r="AD288" s="1454"/>
      <c r="AE288" s="1454"/>
      <c r="AF288" s="1454"/>
      <c r="AG288" s="1454"/>
      <c r="AH288" s="1454"/>
      <c r="AI288" s="1454"/>
      <c r="AJ288" s="1454"/>
      <c r="AK288" s="1454"/>
      <c r="BN288" s="34"/>
    </row>
    <row r="289" spans="2:66" ht="12.95" customHeight="1">
      <c r="B289" s="3" t="s">
        <v>481</v>
      </c>
      <c r="C289" s="3"/>
      <c r="D289" s="3"/>
      <c r="E289" s="3"/>
      <c r="F289" s="3"/>
      <c r="H289" s="1481" t="s">
        <v>2662</v>
      </c>
      <c r="I289" s="1454"/>
      <c r="J289" s="1454"/>
      <c r="K289" s="1454"/>
      <c r="L289" s="1454"/>
      <c r="M289" s="1454"/>
      <c r="N289" s="1454"/>
      <c r="O289" s="1454"/>
      <c r="P289" s="1454"/>
      <c r="Q289" s="1454"/>
      <c r="R289" s="1454"/>
      <c r="T289" s="3" t="s">
        <v>75</v>
      </c>
      <c r="V289" s="3"/>
      <c r="W289" s="3"/>
      <c r="X289" s="3"/>
      <c r="Y289" s="3"/>
      <c r="AA289" s="1454" t="s">
        <v>2665</v>
      </c>
      <c r="AB289" s="1454"/>
      <c r="AC289" s="1454"/>
      <c r="AD289" s="1454"/>
      <c r="AE289" s="1454"/>
      <c r="AF289" s="1454"/>
      <c r="AG289" s="1454"/>
      <c r="AH289" s="1454"/>
      <c r="AI289" s="1454"/>
      <c r="AJ289" s="1454"/>
      <c r="AK289" s="1454"/>
      <c r="BN289" s="34"/>
    </row>
    <row r="290" spans="2:66" ht="12.95" customHeight="1">
      <c r="B290" s="3" t="s">
        <v>87</v>
      </c>
      <c r="C290" s="3"/>
      <c r="D290" s="3"/>
      <c r="E290" s="3"/>
      <c r="F290" s="3"/>
      <c r="H290" s="1454" t="s">
        <v>2661</v>
      </c>
      <c r="I290" s="1454"/>
      <c r="J290" s="1454"/>
      <c r="K290" s="1454"/>
      <c r="L290" s="1454"/>
      <c r="M290" s="1454"/>
      <c r="N290" s="1454"/>
      <c r="O290" s="1454"/>
      <c r="P290" s="1454"/>
      <c r="Q290" s="1454"/>
      <c r="R290" s="1454"/>
      <c r="T290" s="3" t="s">
        <v>87</v>
      </c>
      <c r="V290" s="3"/>
      <c r="W290" s="3"/>
      <c r="X290" s="3"/>
      <c r="Y290" s="3"/>
      <c r="AA290" s="1454" t="s">
        <v>2666</v>
      </c>
      <c r="AB290" s="1454"/>
      <c r="AC290" s="1454"/>
      <c r="AD290" s="1454"/>
      <c r="AE290" s="1454"/>
      <c r="AF290" s="1454"/>
      <c r="AG290" s="1454"/>
      <c r="AH290" s="1454"/>
      <c r="AI290" s="1454"/>
      <c r="AJ290" s="1454"/>
      <c r="AK290" s="1454"/>
      <c r="BN290" s="34"/>
    </row>
    <row r="291" spans="2:66" ht="12.95" customHeight="1">
      <c r="B291" s="3" t="s">
        <v>88</v>
      </c>
      <c r="C291" s="3"/>
      <c r="D291" s="3"/>
      <c r="E291" s="3"/>
      <c r="F291" s="3"/>
      <c r="G291" s="3"/>
      <c r="H291" s="1523" t="s">
        <v>2654</v>
      </c>
      <c r="I291" s="1523"/>
      <c r="J291" s="1523"/>
      <c r="K291" s="1523"/>
      <c r="L291" s="1523"/>
      <c r="M291" s="1523"/>
      <c r="N291" s="4" t="s">
        <v>207</v>
      </c>
      <c r="O291" s="4"/>
      <c r="P291" s="1480"/>
      <c r="Q291" s="1480"/>
      <c r="R291" s="1480"/>
      <c r="S291" s="3"/>
      <c r="T291" s="3" t="s">
        <v>88</v>
      </c>
      <c r="V291" s="3"/>
      <c r="W291" s="3"/>
      <c r="X291" s="3"/>
      <c r="Y291" s="3"/>
      <c r="AA291" s="1546" t="s">
        <v>2667</v>
      </c>
      <c r="AB291" s="1523"/>
      <c r="AC291" s="1523"/>
      <c r="AD291" s="1523"/>
      <c r="AE291" s="1523"/>
      <c r="AF291" s="1523"/>
      <c r="AG291" s="4" t="s">
        <v>207</v>
      </c>
      <c r="AH291" s="4"/>
      <c r="AI291" s="1480"/>
      <c r="AJ291" s="1480"/>
      <c r="AK291" s="1480"/>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54" t="s">
        <v>2655</v>
      </c>
      <c r="I293" s="1454"/>
      <c r="J293" s="1454"/>
      <c r="K293" s="1454"/>
      <c r="L293" s="1454"/>
      <c r="M293" s="1454"/>
      <c r="N293" s="1384"/>
      <c r="O293" s="1384"/>
      <c r="P293" s="1384"/>
      <c r="Q293" s="1384"/>
      <c r="R293" s="1384"/>
      <c r="S293" s="3"/>
      <c r="T293" s="3" t="s">
        <v>76</v>
      </c>
      <c r="V293" s="3"/>
      <c r="W293" s="3"/>
      <c r="X293" s="3"/>
      <c r="Y293" s="3"/>
      <c r="AA293" s="1454" t="s">
        <v>2668</v>
      </c>
      <c r="AB293" s="1454"/>
      <c r="AC293" s="1454"/>
      <c r="AD293" s="1454"/>
      <c r="AE293" s="1454"/>
      <c r="AF293" s="145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2670</v>
      </c>
      <c r="I295" s="1384"/>
      <c r="J295" s="1384"/>
      <c r="K295" s="1384"/>
      <c r="L295" s="1384"/>
      <c r="M295" s="1384"/>
      <c r="N295" s="1384"/>
      <c r="O295" s="1384"/>
      <c r="P295" s="1384"/>
      <c r="Q295" s="1384"/>
      <c r="R295" s="1384"/>
      <c r="T295" s="3" t="s">
        <v>365</v>
      </c>
      <c r="V295" s="3"/>
      <c r="W295" s="3"/>
      <c r="X295" s="3"/>
      <c r="Y295" s="3"/>
      <c r="AA295" s="1524" t="s">
        <v>2669</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54" t="s">
        <v>2671</v>
      </c>
      <c r="I296" s="1454"/>
      <c r="J296" s="1454"/>
      <c r="K296" s="1454"/>
      <c r="L296" s="1454"/>
      <c r="M296" s="1454"/>
      <c r="N296" s="1454"/>
      <c r="O296" s="1454"/>
      <c r="P296" s="1454"/>
      <c r="Q296" s="1454"/>
      <c r="R296" s="1454"/>
      <c r="T296" s="3" t="s">
        <v>480</v>
      </c>
      <c r="V296" s="3"/>
      <c r="W296" s="3"/>
      <c r="X296" s="3"/>
      <c r="Y296" s="3"/>
      <c r="AA296" s="1454"/>
      <c r="AB296" s="1454"/>
      <c r="AC296" s="1454"/>
      <c r="AD296" s="1454"/>
      <c r="AE296" s="1454"/>
      <c r="AF296" s="1454"/>
      <c r="AG296" s="1454"/>
      <c r="AH296" s="1454"/>
      <c r="AI296" s="1454"/>
      <c r="AJ296" s="1454"/>
      <c r="AK296" s="1454"/>
      <c r="BN296" s="34"/>
    </row>
    <row r="297" spans="2:66" ht="12.95" customHeight="1">
      <c r="B297" s="3" t="s">
        <v>481</v>
      </c>
      <c r="C297" s="3"/>
      <c r="D297" s="3"/>
      <c r="E297" s="3"/>
      <c r="F297" s="3"/>
      <c r="H297" s="1454" t="s">
        <v>2672</v>
      </c>
      <c r="I297" s="1454"/>
      <c r="J297" s="1454"/>
      <c r="K297" s="1454"/>
      <c r="L297" s="1454"/>
      <c r="M297" s="1454"/>
      <c r="N297" s="1454"/>
      <c r="O297" s="1454"/>
      <c r="P297" s="1454"/>
      <c r="Q297" s="1454"/>
      <c r="R297" s="1454"/>
      <c r="T297" s="3" t="s">
        <v>75</v>
      </c>
      <c r="V297" s="3"/>
      <c r="W297" s="3"/>
      <c r="X297" s="3"/>
      <c r="Y297" s="3"/>
      <c r="AA297" s="1454"/>
      <c r="AB297" s="1454"/>
      <c r="AC297" s="1454"/>
      <c r="AD297" s="1454"/>
      <c r="AE297" s="1454"/>
      <c r="AF297" s="1454"/>
      <c r="AG297" s="1454"/>
      <c r="AH297" s="1454"/>
      <c r="AI297" s="1454"/>
      <c r="AJ297" s="1454"/>
      <c r="AK297" s="1454"/>
      <c r="BN297" s="34"/>
    </row>
    <row r="298" spans="2:66" ht="12.95" customHeight="1">
      <c r="B298" s="3" t="s">
        <v>87</v>
      </c>
      <c r="C298" s="3"/>
      <c r="D298" s="3"/>
      <c r="E298" s="3"/>
      <c r="F298" s="3"/>
      <c r="H298" s="1454" t="s">
        <v>2673</v>
      </c>
      <c r="I298" s="1454"/>
      <c r="J298" s="1454"/>
      <c r="K298" s="1454"/>
      <c r="L298" s="1454"/>
      <c r="M298" s="1454"/>
      <c r="N298" s="1454"/>
      <c r="O298" s="1454"/>
      <c r="P298" s="1454"/>
      <c r="Q298" s="1454"/>
      <c r="R298" s="1454"/>
      <c r="T298" s="3" t="s">
        <v>87</v>
      </c>
      <c r="V298" s="3"/>
      <c r="W298" s="3"/>
      <c r="X298" s="3"/>
      <c r="Y298" s="3"/>
      <c r="AA298" s="1454"/>
      <c r="AB298" s="1454"/>
      <c r="AC298" s="1454"/>
      <c r="AD298" s="1454"/>
      <c r="AE298" s="1454"/>
      <c r="AF298" s="1454"/>
      <c r="AG298" s="1454"/>
      <c r="AH298" s="1454"/>
      <c r="AI298" s="1454"/>
      <c r="AJ298" s="1454"/>
      <c r="AK298" s="1454"/>
      <c r="BN298" s="34"/>
    </row>
    <row r="299" spans="2:66" ht="12.95" customHeight="1">
      <c r="B299" s="3" t="s">
        <v>88</v>
      </c>
      <c r="C299" s="3"/>
      <c r="D299" s="3"/>
      <c r="E299" s="3"/>
      <c r="F299" s="3"/>
      <c r="G299" s="3"/>
      <c r="H299" s="1546" t="s">
        <v>2675</v>
      </c>
      <c r="I299" s="1523"/>
      <c r="J299" s="1523"/>
      <c r="K299" s="1523"/>
      <c r="L299" s="1523"/>
      <c r="M299" s="1523"/>
      <c r="N299" s="4" t="s">
        <v>207</v>
      </c>
      <c r="O299" s="4"/>
      <c r="P299" s="1480"/>
      <c r="Q299" s="1480"/>
      <c r="R299" s="1480"/>
      <c r="S299" s="3"/>
      <c r="T299" s="3" t="s">
        <v>88</v>
      </c>
      <c r="V299" s="3"/>
      <c r="W299" s="3"/>
      <c r="X299" s="3"/>
      <c r="Y299" s="3"/>
      <c r="AA299" s="1523"/>
      <c r="AB299" s="1523"/>
      <c r="AC299" s="1523"/>
      <c r="AD299" s="1523"/>
      <c r="AE299" s="1523"/>
      <c r="AF299" s="1523"/>
      <c r="AG299" s="4" t="s">
        <v>207</v>
      </c>
      <c r="AH299" s="4"/>
      <c r="AI299" s="1480"/>
      <c r="AJ299" s="1480"/>
      <c r="AK299" s="1480"/>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54" t="s">
        <v>2674</v>
      </c>
      <c r="I301" s="1454"/>
      <c r="J301" s="1454"/>
      <c r="K301" s="1454"/>
      <c r="L301" s="1454"/>
      <c r="M301" s="1454"/>
      <c r="N301" s="1384"/>
      <c r="O301" s="1384"/>
      <c r="P301" s="1384"/>
      <c r="Q301" s="1384"/>
      <c r="R301" s="1384"/>
      <c r="S301" s="3"/>
      <c r="T301" s="3" t="s">
        <v>76</v>
      </c>
      <c r="V301" s="3"/>
      <c r="W301" s="3"/>
      <c r="X301" s="3"/>
      <c r="Y301" s="3"/>
      <c r="AA301" s="1454"/>
      <c r="AB301" s="1454"/>
      <c r="AC301" s="1454"/>
      <c r="AD301" s="1454"/>
      <c r="AE301" s="1454"/>
      <c r="AF301" s="1454"/>
      <c r="AG301" s="1384"/>
      <c r="AH301" s="1384"/>
      <c r="AI301" s="1384"/>
      <c r="AJ301" s="1384"/>
      <c r="AK301" s="1384"/>
      <c r="BN301" s="34"/>
    </row>
    <row r="302" spans="2:66" ht="12.95" customHeight="1">
      <c r="BN302" s="34"/>
    </row>
    <row r="303" spans="2:66" ht="12.95" customHeight="1">
      <c r="B303" s="3" t="s">
        <v>77</v>
      </c>
      <c r="C303" s="3"/>
      <c r="D303" s="3"/>
      <c r="E303" s="3"/>
      <c r="F303" s="3"/>
      <c r="H303" s="1384" t="s">
        <v>2676</v>
      </c>
      <c r="I303" s="1384"/>
      <c r="J303" s="1384"/>
      <c r="K303" s="1384"/>
      <c r="L303" s="1384"/>
      <c r="M303" s="1384"/>
      <c r="N303" s="1384"/>
      <c r="O303" s="1384"/>
      <c r="P303" s="1384"/>
      <c r="Q303" s="1384"/>
      <c r="R303" s="1384"/>
      <c r="T303" s="4" t="s">
        <v>891</v>
      </c>
      <c r="V303" s="3"/>
      <c r="W303" s="3"/>
      <c r="X303" s="3"/>
      <c r="Y303" s="3"/>
      <c r="AA303" s="1384" t="s">
        <v>2682</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54" t="s">
        <v>2677</v>
      </c>
      <c r="I304" s="1454"/>
      <c r="J304" s="1454"/>
      <c r="K304" s="1454"/>
      <c r="L304" s="1454"/>
      <c r="M304" s="1454"/>
      <c r="N304" s="1454"/>
      <c r="O304" s="1454"/>
      <c r="P304" s="1454"/>
      <c r="Q304" s="1454"/>
      <c r="R304" s="1454"/>
      <c r="T304" s="3" t="s">
        <v>480</v>
      </c>
      <c r="V304" s="3"/>
      <c r="W304" s="3"/>
      <c r="X304" s="3"/>
      <c r="Y304" s="3"/>
      <c r="AA304" s="1454" t="s">
        <v>2683</v>
      </c>
      <c r="AB304" s="1454"/>
      <c r="AC304" s="1454"/>
      <c r="AD304" s="1454"/>
      <c r="AE304" s="1454"/>
      <c r="AF304" s="1454"/>
      <c r="AG304" s="1454"/>
      <c r="AH304" s="1454"/>
      <c r="AI304" s="1454"/>
      <c r="AJ304" s="1454"/>
      <c r="AK304" s="1454"/>
      <c r="BN304" s="34"/>
    </row>
    <row r="305" spans="2:66" ht="12.95" customHeight="1">
      <c r="B305" s="3" t="s">
        <v>481</v>
      </c>
      <c r="C305" s="3"/>
      <c r="D305" s="3"/>
      <c r="E305" s="3"/>
      <c r="F305" s="3"/>
      <c r="H305" s="1454" t="s">
        <v>2678</v>
      </c>
      <c r="I305" s="1454"/>
      <c r="J305" s="1454"/>
      <c r="K305" s="1454"/>
      <c r="L305" s="1454"/>
      <c r="M305" s="1454"/>
      <c r="N305" s="1454"/>
      <c r="O305" s="1454"/>
      <c r="P305" s="1454"/>
      <c r="Q305" s="1454"/>
      <c r="R305" s="1454"/>
      <c r="T305" s="3" t="s">
        <v>75</v>
      </c>
      <c r="V305" s="3"/>
      <c r="W305" s="3"/>
      <c r="X305" s="3"/>
      <c r="Y305" s="3"/>
      <c r="AA305" s="1454" t="s">
        <v>2684</v>
      </c>
      <c r="AB305" s="1454"/>
      <c r="AC305" s="1454"/>
      <c r="AD305" s="1454"/>
      <c r="AE305" s="1454"/>
      <c r="AF305" s="1454"/>
      <c r="AG305" s="1454"/>
      <c r="AH305" s="1454"/>
      <c r="AI305" s="1454"/>
      <c r="AJ305" s="1454"/>
      <c r="AK305" s="1454"/>
      <c r="BN305" s="34"/>
    </row>
    <row r="306" spans="2:66" ht="12.95" customHeight="1">
      <c r="B306" s="3" t="s">
        <v>87</v>
      </c>
      <c r="C306" s="3"/>
      <c r="D306" s="3"/>
      <c r="E306" s="3"/>
      <c r="F306" s="3"/>
      <c r="H306" s="1454" t="s">
        <v>2679</v>
      </c>
      <c r="I306" s="1454"/>
      <c r="J306" s="1454"/>
      <c r="K306" s="1454"/>
      <c r="L306" s="1454"/>
      <c r="M306" s="1454"/>
      <c r="N306" s="1454"/>
      <c r="O306" s="1454"/>
      <c r="P306" s="1454"/>
      <c r="Q306" s="1454"/>
      <c r="R306" s="1454"/>
      <c r="T306" s="3" t="s">
        <v>87</v>
      </c>
      <c r="V306" s="3"/>
      <c r="W306" s="3"/>
      <c r="X306" s="3"/>
      <c r="Y306" s="3"/>
      <c r="AA306" s="1454" t="s">
        <v>2685</v>
      </c>
      <c r="AB306" s="1454"/>
      <c r="AC306" s="1454"/>
      <c r="AD306" s="1454"/>
      <c r="AE306" s="1454"/>
      <c r="AF306" s="1454"/>
      <c r="AG306" s="1454"/>
      <c r="AH306" s="1454"/>
      <c r="AI306" s="1454"/>
      <c r="AJ306" s="1454"/>
      <c r="AK306" s="1454"/>
      <c r="BN306" s="34"/>
    </row>
    <row r="307" spans="2:66" ht="12.95" customHeight="1">
      <c r="B307" s="3" t="s">
        <v>88</v>
      </c>
      <c r="C307" s="3"/>
      <c r="D307" s="3"/>
      <c r="E307" s="3"/>
      <c r="F307" s="3"/>
      <c r="G307" s="3"/>
      <c r="H307" s="1546" t="s">
        <v>2681</v>
      </c>
      <c r="I307" s="1523"/>
      <c r="J307" s="1523"/>
      <c r="K307" s="1523"/>
      <c r="L307" s="1523"/>
      <c r="M307" s="1523"/>
      <c r="N307" s="4" t="s">
        <v>207</v>
      </c>
      <c r="O307" s="4"/>
      <c r="P307" s="1480"/>
      <c r="Q307" s="1480"/>
      <c r="R307" s="1480"/>
      <c r="S307" s="3"/>
      <c r="T307" s="3" t="s">
        <v>88</v>
      </c>
      <c r="V307" s="3"/>
      <c r="W307" s="3"/>
      <c r="X307" s="3"/>
      <c r="Y307" s="3"/>
      <c r="AA307" s="1523" t="s">
        <v>2686</v>
      </c>
      <c r="AB307" s="1523"/>
      <c r="AC307" s="1523"/>
      <c r="AD307" s="1523"/>
      <c r="AE307" s="1523"/>
      <c r="AF307" s="1523"/>
      <c r="AG307" s="4" t="s">
        <v>207</v>
      </c>
      <c r="AH307" s="4"/>
      <c r="AI307" s="1480"/>
      <c r="AJ307" s="1480"/>
      <c r="AK307" s="1480"/>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t="s">
        <v>2687</v>
      </c>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54" t="s">
        <v>2680</v>
      </c>
      <c r="I309" s="1454"/>
      <c r="J309" s="1454"/>
      <c r="K309" s="1454"/>
      <c r="L309" s="1454"/>
      <c r="M309" s="1454"/>
      <c r="N309" s="1384"/>
      <c r="O309" s="1384"/>
      <c r="P309" s="1384"/>
      <c r="Q309" s="1384"/>
      <c r="R309" s="1384"/>
      <c r="S309" s="3"/>
      <c r="T309" s="3" t="s">
        <v>76</v>
      </c>
      <c r="V309" s="3"/>
      <c r="W309" s="3"/>
      <c r="X309" s="3"/>
      <c r="Y309" s="3"/>
      <c r="AA309" s="1481" t="s">
        <v>2688</v>
      </c>
      <c r="AB309" s="1454"/>
      <c r="AC309" s="1454"/>
      <c r="AD309" s="1454"/>
      <c r="AE309" s="1454"/>
      <c r="AF309" s="145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2676</v>
      </c>
      <c r="I311" s="1384"/>
      <c r="J311" s="1384"/>
      <c r="K311" s="1384"/>
      <c r="L311" s="1384"/>
      <c r="M311" s="1384"/>
      <c r="N311" s="1384"/>
      <c r="O311" s="1384"/>
      <c r="P311" s="1384"/>
      <c r="Q311" s="1384"/>
      <c r="R311" s="1384"/>
      <c r="S311" s="3"/>
      <c r="T311" s="3" t="s">
        <v>366</v>
      </c>
      <c r="V311" s="3"/>
      <c r="W311" s="3"/>
      <c r="X311" s="3"/>
      <c r="Y311" s="3"/>
      <c r="AA311" s="1384" t="s">
        <v>2692</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54" t="s">
        <v>2677</v>
      </c>
      <c r="I312" s="1454"/>
      <c r="J312" s="1454"/>
      <c r="K312" s="1454"/>
      <c r="L312" s="1454"/>
      <c r="M312" s="1454"/>
      <c r="N312" s="1454"/>
      <c r="O312" s="1454"/>
      <c r="P312" s="1454"/>
      <c r="Q312" s="1454"/>
      <c r="R312" s="1454"/>
      <c r="S312" s="3"/>
      <c r="T312" s="3" t="s">
        <v>480</v>
      </c>
      <c r="V312" s="3"/>
      <c r="W312" s="3"/>
      <c r="X312" s="3"/>
      <c r="Y312" s="3"/>
      <c r="AA312" s="1454" t="s">
        <v>2693</v>
      </c>
      <c r="AB312" s="1454"/>
      <c r="AC312" s="1454"/>
      <c r="AD312" s="1454"/>
      <c r="AE312" s="1454"/>
      <c r="AF312" s="1454"/>
      <c r="AG312" s="1454"/>
      <c r="AH312" s="1454"/>
      <c r="AI312" s="1454"/>
      <c r="AJ312" s="1454"/>
      <c r="AK312" s="1454"/>
      <c r="BN312" s="34"/>
    </row>
    <row r="313" spans="2:66" ht="12.95" customHeight="1">
      <c r="B313" s="3" t="s">
        <v>481</v>
      </c>
      <c r="C313" s="3"/>
      <c r="D313" s="3"/>
      <c r="E313" s="3"/>
      <c r="F313" s="3"/>
      <c r="H313" s="1454" t="s">
        <v>2678</v>
      </c>
      <c r="I313" s="1454"/>
      <c r="J313" s="1454"/>
      <c r="K313" s="1454"/>
      <c r="L313" s="1454"/>
      <c r="M313" s="1454"/>
      <c r="N313" s="1454"/>
      <c r="O313" s="1454"/>
      <c r="P313" s="1454"/>
      <c r="Q313" s="1454"/>
      <c r="R313" s="1454"/>
      <c r="S313" s="3"/>
      <c r="T313" s="3" t="s">
        <v>75</v>
      </c>
      <c r="V313" s="3"/>
      <c r="W313" s="3"/>
      <c r="X313" s="3"/>
      <c r="Y313" s="3"/>
      <c r="AA313" s="1454" t="s">
        <v>2694</v>
      </c>
      <c r="AB313" s="1454"/>
      <c r="AC313" s="1454"/>
      <c r="AD313" s="1454"/>
      <c r="AE313" s="1454"/>
      <c r="AF313" s="1454"/>
      <c r="AG313" s="1454"/>
      <c r="AH313" s="1454"/>
      <c r="AI313" s="1454"/>
      <c r="AJ313" s="1454"/>
      <c r="AK313" s="1454"/>
      <c r="BN313" s="34"/>
    </row>
    <row r="314" spans="2:66" ht="12.95" customHeight="1">
      <c r="B314" s="3" t="s">
        <v>87</v>
      </c>
      <c r="C314" s="3"/>
      <c r="D314" s="3"/>
      <c r="E314" s="3"/>
      <c r="F314" s="3"/>
      <c r="H314" s="1454" t="s">
        <v>2689</v>
      </c>
      <c r="I314" s="1454"/>
      <c r="J314" s="1454"/>
      <c r="K314" s="1454"/>
      <c r="L314" s="1454"/>
      <c r="M314" s="1454"/>
      <c r="N314" s="1454"/>
      <c r="O314" s="1454"/>
      <c r="P314" s="1454"/>
      <c r="Q314" s="1454"/>
      <c r="R314" s="1454"/>
      <c r="S314" s="3"/>
      <c r="T314" s="3" t="s">
        <v>87</v>
      </c>
      <c r="V314" s="3"/>
      <c r="W314" s="3"/>
      <c r="X314" s="3"/>
      <c r="Y314" s="3"/>
      <c r="AA314" s="1454" t="s">
        <v>2695</v>
      </c>
      <c r="AB314" s="1454"/>
      <c r="AC314" s="1454"/>
      <c r="AD314" s="1454"/>
      <c r="AE314" s="1454"/>
      <c r="AF314" s="1454"/>
      <c r="AG314" s="1454"/>
      <c r="AH314" s="1454"/>
      <c r="AI314" s="1454"/>
      <c r="AJ314" s="1454"/>
      <c r="AK314" s="1454"/>
      <c r="BN314" s="34"/>
    </row>
    <row r="315" spans="2:66" ht="12.95" customHeight="1">
      <c r="B315" s="3" t="s">
        <v>88</v>
      </c>
      <c r="C315" s="3"/>
      <c r="D315" s="3"/>
      <c r="E315" s="3"/>
      <c r="F315" s="3"/>
      <c r="G315" s="3"/>
      <c r="H315" s="1523" t="s">
        <v>2690</v>
      </c>
      <c r="I315" s="1523"/>
      <c r="J315" s="1523"/>
      <c r="K315" s="1523"/>
      <c r="L315" s="1523"/>
      <c r="M315" s="1523"/>
      <c r="N315" s="4" t="s">
        <v>207</v>
      </c>
      <c r="O315" s="4"/>
      <c r="P315" s="1480"/>
      <c r="Q315" s="1480"/>
      <c r="R315" s="1480"/>
      <c r="S315" s="3"/>
      <c r="T315" s="3" t="s">
        <v>88</v>
      </c>
      <c r="V315" s="3"/>
      <c r="W315" s="3"/>
      <c r="X315" s="3"/>
      <c r="Y315" s="3"/>
      <c r="AA315" s="1523" t="s">
        <v>2697</v>
      </c>
      <c r="AB315" s="1523"/>
      <c r="AC315" s="1523"/>
      <c r="AD315" s="1523"/>
      <c r="AE315" s="1523"/>
      <c r="AF315" s="1523"/>
      <c r="AG315" s="4" t="s">
        <v>207</v>
      </c>
      <c r="AH315" s="4"/>
      <c r="AI315" s="1480"/>
      <c r="AJ315" s="1480"/>
      <c r="AK315" s="1480"/>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54" t="s">
        <v>2691</v>
      </c>
      <c r="I317" s="1454"/>
      <c r="J317" s="1454"/>
      <c r="K317" s="1454"/>
      <c r="L317" s="1454"/>
      <c r="M317" s="1454"/>
      <c r="N317" s="1384"/>
      <c r="O317" s="1384"/>
      <c r="P317" s="1384"/>
      <c r="Q317" s="1384"/>
      <c r="R317" s="1384"/>
      <c r="S317" s="3"/>
      <c r="T317" s="3" t="s">
        <v>76</v>
      </c>
      <c r="V317" s="3"/>
      <c r="W317" s="3"/>
      <c r="X317" s="3"/>
      <c r="Y317" s="3"/>
      <c r="AA317" s="1454" t="s">
        <v>2696</v>
      </c>
      <c r="AB317" s="1454"/>
      <c r="AC317" s="1454"/>
      <c r="AD317" s="1454"/>
      <c r="AE317" s="1454"/>
      <c r="AF317" s="1454"/>
      <c r="AG317" s="1384"/>
      <c r="AH317" s="1384"/>
      <c r="AI317" s="1384"/>
      <c r="AJ317" s="1384"/>
      <c r="AK317" s="1384"/>
      <c r="BN317" s="34"/>
    </row>
    <row r="318" spans="2:66" ht="12.95" customHeight="1">
      <c r="BN318" s="34"/>
    </row>
    <row r="319" spans="2:66" ht="12.95" customHeight="1">
      <c r="B319" s="4" t="s">
        <v>924</v>
      </c>
      <c r="C319" s="3"/>
      <c r="D319" s="3"/>
      <c r="E319" s="3"/>
      <c r="F319" s="3"/>
      <c r="H319" s="1384" t="s">
        <v>2698</v>
      </c>
      <c r="I319" s="1384"/>
      <c r="J319" s="1384"/>
      <c r="K319" s="1384"/>
      <c r="L319" s="1384"/>
      <c r="M319" s="1384"/>
      <c r="N319" s="1384"/>
      <c r="O319" s="1384"/>
      <c r="P319" s="1384"/>
      <c r="Q319" s="1384"/>
      <c r="R319" s="1384"/>
      <c r="T319" s="3" t="s">
        <v>367</v>
      </c>
      <c r="V319" s="3"/>
      <c r="W319" s="3"/>
      <c r="X319" s="3"/>
      <c r="Y319" s="3"/>
      <c r="AA319" s="1384" t="s">
        <v>2704</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54" t="s">
        <v>2699</v>
      </c>
      <c r="I320" s="1454"/>
      <c r="J320" s="1454"/>
      <c r="K320" s="1454"/>
      <c r="L320" s="1454"/>
      <c r="M320" s="1454"/>
      <c r="N320" s="1454"/>
      <c r="O320" s="1454"/>
      <c r="P320" s="1454"/>
      <c r="Q320" s="1454"/>
      <c r="R320" s="1454"/>
      <c r="T320" s="3" t="s">
        <v>480</v>
      </c>
      <c r="V320" s="3"/>
      <c r="W320" s="3"/>
      <c r="X320" s="3"/>
      <c r="Y320" s="3"/>
      <c r="AA320" s="1454" t="s">
        <v>2705</v>
      </c>
      <c r="AB320" s="1454"/>
      <c r="AC320" s="1454"/>
      <c r="AD320" s="1454"/>
      <c r="AE320" s="1454"/>
      <c r="AF320" s="1454"/>
      <c r="AG320" s="1454"/>
      <c r="AH320" s="1454"/>
      <c r="AI320" s="1454"/>
      <c r="AJ320" s="1454"/>
      <c r="AK320" s="1454"/>
      <c r="BN320" s="34"/>
    </row>
    <row r="321" spans="2:66" ht="12.95" customHeight="1">
      <c r="B321" s="3" t="s">
        <v>481</v>
      </c>
      <c r="C321" s="3"/>
      <c r="D321" s="3"/>
      <c r="E321" s="3"/>
      <c r="F321" s="3"/>
      <c r="H321" s="1454" t="s">
        <v>2700</v>
      </c>
      <c r="I321" s="1454"/>
      <c r="J321" s="1454"/>
      <c r="K321" s="1454"/>
      <c r="L321" s="1454"/>
      <c r="M321" s="1454"/>
      <c r="N321" s="1454"/>
      <c r="O321" s="1454"/>
      <c r="P321" s="1454"/>
      <c r="Q321" s="1454"/>
      <c r="R321" s="1454"/>
      <c r="T321" s="3" t="s">
        <v>75</v>
      </c>
      <c r="V321" s="3"/>
      <c r="W321" s="3"/>
      <c r="X321" s="3"/>
      <c r="Y321" s="3"/>
      <c r="AA321" s="1454" t="s">
        <v>2706</v>
      </c>
      <c r="AB321" s="1454"/>
      <c r="AC321" s="1454"/>
      <c r="AD321" s="1454"/>
      <c r="AE321" s="1454"/>
      <c r="AF321" s="1454"/>
      <c r="AG321" s="1454"/>
      <c r="AH321" s="1454"/>
      <c r="AI321" s="1454"/>
      <c r="AJ321" s="1454"/>
      <c r="AK321" s="1454"/>
      <c r="BN321" s="34"/>
    </row>
    <row r="322" spans="2:66" ht="12.95" customHeight="1">
      <c r="B322" s="3" t="s">
        <v>87</v>
      </c>
      <c r="C322" s="3"/>
      <c r="D322" s="3"/>
      <c r="E322" s="3"/>
      <c r="F322" s="3"/>
      <c r="H322" s="1454" t="s">
        <v>2701</v>
      </c>
      <c r="I322" s="1454"/>
      <c r="J322" s="1454"/>
      <c r="K322" s="1454"/>
      <c r="L322" s="1454"/>
      <c r="M322" s="1454"/>
      <c r="N322" s="1454"/>
      <c r="O322" s="1454"/>
      <c r="P322" s="1454"/>
      <c r="Q322" s="1454"/>
      <c r="R322" s="1454"/>
      <c r="T322" s="3" t="s">
        <v>87</v>
      </c>
      <c r="V322" s="3"/>
      <c r="W322" s="3"/>
      <c r="X322" s="3"/>
      <c r="Y322" s="3"/>
      <c r="AA322" s="1454" t="s">
        <v>2707</v>
      </c>
      <c r="AB322" s="1454"/>
      <c r="AC322" s="1454"/>
      <c r="AD322" s="1454"/>
      <c r="AE322" s="1454"/>
      <c r="AF322" s="1454"/>
      <c r="AG322" s="1454"/>
      <c r="AH322" s="1454"/>
      <c r="AI322" s="1454"/>
      <c r="AJ322" s="1454"/>
      <c r="AK322" s="1454"/>
      <c r="BN322" s="34"/>
    </row>
    <row r="323" spans="2:66" ht="12.95" customHeight="1">
      <c r="B323" s="3" t="s">
        <v>88</v>
      </c>
      <c r="C323" s="3"/>
      <c r="D323" s="3"/>
      <c r="E323" s="3"/>
      <c r="F323" s="3"/>
      <c r="G323" s="3"/>
      <c r="H323" s="1523" t="s">
        <v>2703</v>
      </c>
      <c r="I323" s="1523"/>
      <c r="J323" s="1523"/>
      <c r="K323" s="1523"/>
      <c r="L323" s="1523"/>
      <c r="M323" s="1523"/>
      <c r="N323" s="4" t="s">
        <v>207</v>
      </c>
      <c r="O323" s="4"/>
      <c r="P323" s="1480"/>
      <c r="Q323" s="1480"/>
      <c r="R323" s="1480"/>
      <c r="S323" s="3"/>
      <c r="T323" s="3" t="s">
        <v>88</v>
      </c>
      <c r="V323" s="3"/>
      <c r="W323" s="3"/>
      <c r="X323" s="3"/>
      <c r="Y323" s="3"/>
      <c r="AA323" s="1546" t="s">
        <v>2709</v>
      </c>
      <c r="AB323" s="1523"/>
      <c r="AC323" s="1523"/>
      <c r="AD323" s="1523"/>
      <c r="AE323" s="1523"/>
      <c r="AF323" s="1523"/>
      <c r="AG323" s="4" t="s">
        <v>207</v>
      </c>
      <c r="AH323" s="4"/>
      <c r="AI323" s="1480"/>
      <c r="AJ323" s="1480"/>
      <c r="AK323" s="1480"/>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54" t="s">
        <v>2702</v>
      </c>
      <c r="I325" s="1454"/>
      <c r="J325" s="1454"/>
      <c r="K325" s="1454"/>
      <c r="L325" s="1454"/>
      <c r="M325" s="1454"/>
      <c r="N325" s="1384"/>
      <c r="O325" s="1384"/>
      <c r="P325" s="1384"/>
      <c r="Q325" s="1384"/>
      <c r="R325" s="1384"/>
      <c r="S325" s="3"/>
      <c r="T325" s="3" t="s">
        <v>76</v>
      </c>
      <c r="V325" s="3"/>
      <c r="W325" s="3"/>
      <c r="X325" s="3"/>
      <c r="Y325" s="3"/>
      <c r="AA325" s="1454" t="s">
        <v>2708</v>
      </c>
      <c r="AB325" s="1454"/>
      <c r="AC325" s="1454"/>
      <c r="AD325" s="1454"/>
      <c r="AE325" s="1454"/>
      <c r="AF325" s="145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2704</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54" t="s">
        <v>2710</v>
      </c>
      <c r="I328" s="1454"/>
      <c r="J328" s="1454"/>
      <c r="K328" s="1454"/>
      <c r="L328" s="1454"/>
      <c r="M328" s="1454"/>
      <c r="N328" s="1454"/>
      <c r="O328" s="1454"/>
      <c r="P328" s="1454"/>
      <c r="Q328" s="1454"/>
      <c r="R328" s="1454"/>
      <c r="T328" s="3" t="s">
        <v>480</v>
      </c>
      <c r="V328" s="3"/>
      <c r="W328" s="3"/>
      <c r="X328" s="3"/>
      <c r="Y328" s="3"/>
      <c r="AA328" s="1454"/>
      <c r="AB328" s="1454"/>
      <c r="AC328" s="1454"/>
      <c r="AD328" s="1454"/>
      <c r="AE328" s="1454"/>
      <c r="AF328" s="1454"/>
      <c r="AG328" s="1454"/>
      <c r="AH328" s="1454"/>
      <c r="AI328" s="1454"/>
      <c r="AJ328" s="1454"/>
      <c r="AK328" s="1454"/>
    </row>
    <row r="329" spans="2:66" ht="12.95" customHeight="1">
      <c r="B329" s="3" t="s">
        <v>481</v>
      </c>
      <c r="C329" s="3"/>
      <c r="D329" s="3"/>
      <c r="E329" s="3"/>
      <c r="F329" s="3"/>
      <c r="H329" s="1454" t="s">
        <v>2706</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2.95" customHeight="1">
      <c r="B330" s="3" t="s">
        <v>87</v>
      </c>
      <c r="C330" s="3"/>
      <c r="D330" s="3"/>
      <c r="E330" s="3"/>
      <c r="F330" s="3"/>
      <c r="H330" s="1454" t="s">
        <v>2711</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2.95" customHeight="1">
      <c r="B331" s="3" t="s">
        <v>88</v>
      </c>
      <c r="C331" s="3"/>
      <c r="D331" s="3"/>
      <c r="E331" s="3"/>
      <c r="F331" s="3"/>
      <c r="G331" s="3"/>
      <c r="H331" s="1523" t="s">
        <v>2709</v>
      </c>
      <c r="I331" s="1523"/>
      <c r="J331" s="1523"/>
      <c r="K331" s="1523"/>
      <c r="L331" s="1523"/>
      <c r="M331" s="1523"/>
      <c r="N331" s="4" t="s">
        <v>207</v>
      </c>
      <c r="O331" s="4"/>
      <c r="P331" s="1480"/>
      <c r="Q331" s="1480"/>
      <c r="R331" s="1480"/>
      <c r="S331" s="3"/>
      <c r="T331" s="3" t="s">
        <v>88</v>
      </c>
      <c r="V331" s="3"/>
      <c r="W331" s="3"/>
      <c r="X331" s="3"/>
      <c r="Y331" s="3"/>
      <c r="AA331" s="1523"/>
      <c r="AB331" s="1523"/>
      <c r="AC331" s="1523"/>
      <c r="AD331" s="1523"/>
      <c r="AE331" s="1523"/>
      <c r="AF331" s="1523"/>
      <c r="AG331" s="4" t="s">
        <v>207</v>
      </c>
      <c r="AH331" s="4"/>
      <c r="AI331" s="1480"/>
      <c r="AJ331" s="1480"/>
      <c r="AK331" s="1480"/>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54" t="s">
        <v>2708</v>
      </c>
      <c r="I333" s="1454"/>
      <c r="J333" s="1454"/>
      <c r="K333" s="1454"/>
      <c r="L333" s="1454"/>
      <c r="M333" s="1454"/>
      <c r="N333" s="1384"/>
      <c r="O333" s="1384"/>
      <c r="P333" s="1384"/>
      <c r="Q333" s="1384"/>
      <c r="R333" s="1384"/>
      <c r="S333" s="3"/>
      <c r="T333" s="3" t="s">
        <v>76</v>
      </c>
      <c r="V333" s="3"/>
      <c r="W333" s="3"/>
      <c r="X333" s="3"/>
      <c r="Y333" s="3"/>
      <c r="AA333" s="1454"/>
      <c r="AB333" s="1454"/>
      <c r="AC333" s="1454"/>
      <c r="AD333" s="1454"/>
      <c r="AE333" s="1454"/>
      <c r="AF333" s="145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2712</v>
      </c>
      <c r="I335" s="1384"/>
      <c r="J335" s="1384"/>
      <c r="K335" s="1384"/>
      <c r="L335" s="1384"/>
      <c r="M335" s="1384"/>
      <c r="N335" s="1384"/>
      <c r="O335" s="1384"/>
      <c r="P335" s="1384"/>
      <c r="Q335" s="1384"/>
      <c r="R335" s="1384"/>
      <c r="T335" s="218" t="s">
        <v>900</v>
      </c>
      <c r="V335" s="3"/>
      <c r="W335" s="3"/>
      <c r="X335" s="3"/>
      <c r="Y335" s="3"/>
      <c r="AA335" s="1384" t="s">
        <v>2719</v>
      </c>
      <c r="AB335" s="1384"/>
      <c r="AC335" s="1384"/>
      <c r="AD335" s="1384"/>
      <c r="AE335" s="1384"/>
      <c r="AF335" s="1384"/>
      <c r="AG335" s="1384"/>
      <c r="AH335" s="1384"/>
      <c r="AI335" s="1384"/>
      <c r="AJ335" s="1384"/>
      <c r="AK335" s="1384"/>
    </row>
    <row r="336" spans="2:66" ht="12.95" customHeight="1">
      <c r="B336" s="3" t="s">
        <v>480</v>
      </c>
      <c r="C336" s="3"/>
      <c r="D336" s="3"/>
      <c r="E336" s="3"/>
      <c r="F336" s="3"/>
      <c r="H336" s="1454" t="s">
        <v>2713</v>
      </c>
      <c r="I336" s="1454"/>
      <c r="J336" s="1454"/>
      <c r="K336" s="1454"/>
      <c r="L336" s="1454"/>
      <c r="M336" s="1454"/>
      <c r="N336" s="1454"/>
      <c r="O336" s="1454"/>
      <c r="P336" s="1454"/>
      <c r="Q336" s="1454"/>
      <c r="R336" s="1454"/>
      <c r="T336" s="3" t="s">
        <v>480</v>
      </c>
      <c r="V336" s="3"/>
      <c r="W336" s="3"/>
      <c r="X336" s="3"/>
      <c r="Y336" s="3"/>
      <c r="AA336" s="1454" t="s">
        <v>2720</v>
      </c>
      <c r="AB336" s="1454"/>
      <c r="AC336" s="1454"/>
      <c r="AD336" s="1454"/>
      <c r="AE336" s="1454"/>
      <c r="AF336" s="1454"/>
      <c r="AG336" s="1454"/>
      <c r="AH336" s="1454"/>
      <c r="AI336" s="1454"/>
      <c r="AJ336" s="1454"/>
      <c r="AK336" s="1454"/>
    </row>
    <row r="337" spans="1:66" ht="12.95" customHeight="1">
      <c r="B337" s="3" t="s">
        <v>75</v>
      </c>
      <c r="C337" s="3"/>
      <c r="D337" s="3"/>
      <c r="E337" s="3"/>
      <c r="F337" s="3"/>
      <c r="H337" s="1454" t="s">
        <v>2714</v>
      </c>
      <c r="I337" s="1454"/>
      <c r="J337" s="1454"/>
      <c r="K337" s="1454"/>
      <c r="L337" s="1454"/>
      <c r="M337" s="1454"/>
      <c r="N337" s="1454"/>
      <c r="O337" s="1454"/>
      <c r="P337" s="1454"/>
      <c r="Q337" s="1454"/>
      <c r="R337" s="1454"/>
      <c r="T337" s="3" t="s">
        <v>75</v>
      </c>
      <c r="V337" s="3"/>
      <c r="W337" s="3"/>
      <c r="X337" s="3"/>
      <c r="Y337" s="3"/>
      <c r="AA337" s="1454" t="s">
        <v>2721</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t="s">
        <v>2715</v>
      </c>
      <c r="I338" s="1454"/>
      <c r="J338" s="1454"/>
      <c r="K338" s="1454"/>
      <c r="L338" s="1454"/>
      <c r="M338" s="1454"/>
      <c r="N338" s="1454"/>
      <c r="O338" s="1454"/>
      <c r="P338" s="1454"/>
      <c r="Q338" s="1454"/>
      <c r="R338" s="1454"/>
      <c r="T338" s="3" t="s">
        <v>87</v>
      </c>
      <c r="V338" s="3"/>
      <c r="W338" s="3"/>
      <c r="X338" s="3"/>
      <c r="Y338" s="3"/>
      <c r="AA338" s="1454" t="s">
        <v>2722</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523" t="s">
        <v>2717</v>
      </c>
      <c r="I339" s="1523"/>
      <c r="J339" s="1523"/>
      <c r="K339" s="1523"/>
      <c r="L339" s="1523"/>
      <c r="M339" s="1523"/>
      <c r="N339" s="4" t="s">
        <v>207</v>
      </c>
      <c r="O339" s="4"/>
      <c r="P339" s="1480"/>
      <c r="Q339" s="1480"/>
      <c r="R339" s="1480"/>
      <c r="S339" s="3"/>
      <c r="T339" s="3" t="s">
        <v>88</v>
      </c>
      <c r="V339" s="3"/>
      <c r="W339" s="3"/>
      <c r="X339" s="3"/>
      <c r="Y339" s="3"/>
      <c r="AA339" s="1523" t="s">
        <v>2723</v>
      </c>
      <c r="AB339" s="1523"/>
      <c r="AC339" s="1523"/>
      <c r="AD339" s="1523"/>
      <c r="AE339" s="1523"/>
      <c r="AF339" s="1523"/>
      <c r="AG339" s="4" t="s">
        <v>207</v>
      </c>
      <c r="AH339" s="4"/>
      <c r="AI339" s="1480"/>
      <c r="AJ339" s="1480"/>
      <c r="AK339" s="1480"/>
    </row>
    <row r="340" spans="1:66" ht="12.95" customHeight="1">
      <c r="B340" s="3" t="s">
        <v>89</v>
      </c>
      <c r="C340" s="3"/>
      <c r="D340" s="3"/>
      <c r="E340" s="3"/>
      <c r="F340" s="3"/>
      <c r="G340" s="3"/>
      <c r="H340" s="1386" t="s">
        <v>2718</v>
      </c>
      <c r="I340" s="1386"/>
      <c r="J340" s="1386"/>
      <c r="K340" s="1386"/>
      <c r="L340" s="1386"/>
      <c r="M340" s="1386"/>
      <c r="N340" s="4"/>
      <c r="O340" s="4"/>
      <c r="P340" s="35"/>
      <c r="Q340" s="35"/>
      <c r="R340" s="35"/>
      <c r="S340" s="3"/>
      <c r="T340" s="3" t="s">
        <v>89</v>
      </c>
      <c r="V340" s="3"/>
      <c r="W340" s="3"/>
      <c r="X340" s="3"/>
      <c r="Y340" s="3"/>
      <c r="AA340" s="1386" t="s">
        <v>2724</v>
      </c>
      <c r="AB340" s="1386"/>
      <c r="AC340" s="1386"/>
      <c r="AD340" s="1386"/>
      <c r="AE340" s="1386"/>
      <c r="AF340" s="1386"/>
      <c r="AG340" s="4"/>
      <c r="AH340" s="4"/>
      <c r="AI340" s="35"/>
      <c r="AJ340" s="35"/>
      <c r="AK340" s="35"/>
    </row>
    <row r="341" spans="1:66" ht="12.95" customHeight="1">
      <c r="B341" s="3" t="s">
        <v>76</v>
      </c>
      <c r="C341" s="3"/>
      <c r="D341" s="3"/>
      <c r="E341" s="3"/>
      <c r="F341" s="3"/>
      <c r="G341" s="3"/>
      <c r="H341" s="1454" t="s">
        <v>2716</v>
      </c>
      <c r="I341" s="1454"/>
      <c r="J341" s="1454"/>
      <c r="K341" s="1454"/>
      <c r="L341" s="1454"/>
      <c r="M341" s="1454"/>
      <c r="N341" s="1384"/>
      <c r="O341" s="1384"/>
      <c r="P341" s="1384"/>
      <c r="Q341" s="1384"/>
      <c r="R341" s="1384"/>
      <c r="S341" s="3"/>
      <c r="T341" s="3" t="s">
        <v>76</v>
      </c>
      <c r="V341" s="3"/>
      <c r="W341" s="3"/>
      <c r="X341" s="3"/>
      <c r="Y341" s="3"/>
      <c r="AA341" s="1454" t="s">
        <v>2725</v>
      </c>
      <c r="AB341" s="1454"/>
      <c r="AC341" s="1454"/>
      <c r="AD341" s="1454"/>
      <c r="AE341" s="1454"/>
      <c r="AF341" s="145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54"/>
      <c r="Q344" s="1454"/>
      <c r="R344" s="1454"/>
      <c r="S344" s="1454"/>
      <c r="T344" s="1454"/>
      <c r="U344" s="1454"/>
      <c r="V344" s="1454"/>
      <c r="W344" s="1454"/>
      <c r="X344" s="1454"/>
      <c r="Y344" s="1454"/>
      <c r="Z344" s="1454"/>
      <c r="AA344" s="1454"/>
      <c r="AB344" s="1454"/>
      <c r="AC344" s="1454"/>
      <c r="AD344" s="1454"/>
      <c r="AE344" s="1454"/>
      <c r="BN344" t="s">
        <v>554</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9" t="s">
        <v>551</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80" t="s">
        <v>554</v>
      </c>
      <c r="N355" s="1380"/>
      <c r="P355" t="s">
        <v>1764</v>
      </c>
      <c r="AJ355" s="1380" t="s">
        <v>600</v>
      </c>
      <c r="AK355" s="1380"/>
    </row>
    <row r="356" spans="1:46" ht="12.95" customHeight="1">
      <c r="D356" s="3" t="s">
        <v>1753</v>
      </c>
      <c r="M356" s="1380" t="s">
        <v>600</v>
      </c>
      <c r="N356" s="1380"/>
      <c r="P356" s="3" t="s">
        <v>1910</v>
      </c>
      <c r="AJ356" s="1407"/>
      <c r="AK356" s="1407"/>
    </row>
    <row r="357" spans="1:46" ht="12.95" customHeight="1">
      <c r="D357" s="3" t="s">
        <v>714</v>
      </c>
      <c r="M357" s="1380" t="s">
        <v>600</v>
      </c>
      <c r="N357" s="1380"/>
      <c r="P357" t="s">
        <v>1763</v>
      </c>
      <c r="AJ357" s="1380" t="s">
        <v>600</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4" t="s">
        <v>716</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5" customHeight="1">
      <c r="E370" s="4" t="s">
        <v>457</v>
      </c>
      <c r="F370" s="4"/>
      <c r="G370" s="4"/>
      <c r="H370" s="4"/>
      <c r="I370" s="4"/>
      <c r="J370" s="4"/>
      <c r="K370" s="4"/>
      <c r="L370" s="4"/>
      <c r="N370" s="1451"/>
      <c r="O370" s="1451"/>
      <c r="P370" s="1451"/>
      <c r="Q370" s="1451"/>
      <c r="R370" s="4"/>
      <c r="U370" s="4" t="s">
        <v>458</v>
      </c>
      <c r="V370" s="4"/>
      <c r="W370" s="4"/>
      <c r="X370" s="4"/>
      <c r="Y370" s="4"/>
      <c r="Z370" s="4"/>
      <c r="AA370" s="4"/>
      <c r="AB370" s="4"/>
      <c r="AC370" s="1451"/>
      <c r="AD370" s="1451"/>
      <c r="AE370" s="1451"/>
      <c r="AF370" s="1451"/>
    </row>
    <row r="371" spans="1:34" ht="12.95" customHeight="1">
      <c r="E371" s="4" t="s">
        <v>459</v>
      </c>
      <c r="F371" s="4"/>
      <c r="G371" s="4"/>
      <c r="H371" s="4"/>
      <c r="I371" s="4"/>
      <c r="J371" s="4"/>
      <c r="K371" s="4"/>
      <c r="L371" s="4"/>
      <c r="N371" s="1451"/>
      <c r="O371" s="1451"/>
      <c r="P371" s="1451"/>
      <c r="Q371" s="1451"/>
      <c r="R371" s="4"/>
      <c r="U371" s="4" t="s">
        <v>0</v>
      </c>
      <c r="V371" s="4"/>
      <c r="W371" s="4"/>
      <c r="X371" s="4"/>
      <c r="Y371" s="4"/>
      <c r="Z371" s="4"/>
      <c r="AA371" s="4"/>
      <c r="AB371" s="4"/>
      <c r="AC371" s="1451"/>
      <c r="AD371" s="1451"/>
      <c r="AE371" s="1451"/>
      <c r="AF371" s="1451"/>
    </row>
    <row r="372" spans="1:34" ht="12.95" customHeight="1">
      <c r="E372" s="4" t="s">
        <v>1</v>
      </c>
      <c r="F372" s="4"/>
      <c r="G372" s="4"/>
      <c r="H372" s="4"/>
      <c r="I372" s="4"/>
      <c r="J372" s="4"/>
      <c r="K372" s="4"/>
      <c r="L372" s="4"/>
      <c r="N372" s="1451"/>
      <c r="O372" s="1451"/>
      <c r="P372" s="1451"/>
      <c r="Q372" s="1451"/>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76"/>
      <c r="T377" s="1476"/>
      <c r="U377" s="1" t="s">
        <v>307</v>
      </c>
      <c r="V377" s="1476"/>
      <c r="W377" s="1476"/>
      <c r="Y377" t="s">
        <v>2397</v>
      </c>
      <c r="AC377" s="27" t="s">
        <v>306</v>
      </c>
      <c r="AD377" s="1476"/>
      <c r="AE377" s="1476"/>
      <c r="AF377" s="1" t="s">
        <v>307</v>
      </c>
      <c r="AG377" s="1476"/>
      <c r="AH377" s="1476"/>
    </row>
    <row r="378" spans="1:34" ht="12.95" customHeight="1">
      <c r="E378" s="4" t="s">
        <v>1012</v>
      </c>
      <c r="F378" s="4"/>
      <c r="G378" s="4"/>
      <c r="H378" s="4"/>
      <c r="I378" s="4"/>
      <c r="J378" s="4"/>
      <c r="K378" s="4"/>
      <c r="L378" s="4"/>
      <c r="N378" s="1476"/>
      <c r="O378" s="1476"/>
      <c r="P378" s="1476"/>
    </row>
    <row r="379" spans="1:34" ht="12.95" customHeight="1">
      <c r="E379" s="218" t="s">
        <v>2403</v>
      </c>
      <c r="F379" s="4"/>
      <c r="G379" s="4"/>
      <c r="H379" s="4"/>
      <c r="I379" s="4"/>
      <c r="J379" s="4"/>
      <c r="K379" s="4"/>
      <c r="L379" s="4"/>
      <c r="AG379" s="1532" t="s">
        <v>600</v>
      </c>
      <c r="AH379" s="1532"/>
    </row>
    <row r="380" spans="1:34" ht="12.95" customHeight="1">
      <c r="E380" s="4"/>
      <c r="F380" s="4"/>
      <c r="G380" s="4" t="s">
        <v>2404</v>
      </c>
      <c r="H380" s="4"/>
      <c r="I380" s="4"/>
      <c r="J380" s="4"/>
      <c r="K380" s="4"/>
      <c r="L380" s="4"/>
      <c r="AG380" s="1532" t="s">
        <v>600</v>
      </c>
      <c r="AH380" s="1532"/>
    </row>
    <row r="381" spans="1:34" ht="12.95" customHeight="1">
      <c r="E381" s="4"/>
      <c r="F381" s="4"/>
      <c r="G381" s="348" t="s">
        <v>1013</v>
      </c>
      <c r="H381" s="4"/>
      <c r="I381" s="4"/>
      <c r="J381" s="4"/>
      <c r="K381" s="4"/>
      <c r="L381" s="4"/>
      <c r="V381" s="1380" t="s">
        <v>600</v>
      </c>
      <c r="W381" s="1380"/>
      <c r="Y381" s="22" t="s">
        <v>1000</v>
      </c>
    </row>
    <row r="382" spans="1:34" ht="12.95" customHeight="1">
      <c r="E382" s="4" t="s">
        <v>1001</v>
      </c>
      <c r="F382" s="4"/>
      <c r="G382" s="4"/>
      <c r="H382" s="4"/>
      <c r="I382" s="4"/>
      <c r="J382" s="4"/>
      <c r="K382" s="4"/>
      <c r="L382" s="4"/>
      <c r="V382" s="1380" t="s">
        <v>600</v>
      </c>
      <c r="W382" s="1380"/>
      <c r="Y382" s="4" t="s">
        <v>1002</v>
      </c>
    </row>
    <row r="383" spans="1:34" ht="12.95" customHeight="1"/>
    <row r="384" spans="1:34" ht="12.95" customHeight="1">
      <c r="A384" s="2" t="s">
        <v>78</v>
      </c>
      <c r="B384" s="2"/>
    </row>
    <row r="385" spans="4:36" ht="12.95" customHeight="1">
      <c r="D385" t="s">
        <v>429</v>
      </c>
      <c r="J385" s="1384" t="s">
        <v>2726</v>
      </c>
      <c r="K385" s="1384"/>
      <c r="L385" s="1384"/>
      <c r="M385" s="1384"/>
      <c r="N385" s="1384"/>
      <c r="O385" s="1384"/>
      <c r="P385" s="1384"/>
      <c r="Q385" s="1384"/>
      <c r="R385" s="1384"/>
      <c r="S385" s="1384"/>
      <c r="T385" s="1384"/>
      <c r="U385" s="1384"/>
      <c r="V385" s="8" t="s">
        <v>83</v>
      </c>
      <c r="W385" s="8"/>
      <c r="X385" s="8"/>
      <c r="Y385" s="8"/>
      <c r="Z385" s="8"/>
      <c r="AA385" s="8"/>
      <c r="AB385" s="8"/>
      <c r="AC385" s="1384" t="s">
        <v>2727</v>
      </c>
      <c r="AD385" s="1384"/>
      <c r="AE385" s="1384"/>
      <c r="AF385" s="1384"/>
      <c r="AG385" s="1384"/>
      <c r="AH385" s="1384"/>
      <c r="AI385" s="1384"/>
      <c r="AJ385" s="1384"/>
    </row>
    <row r="386" spans="4:36" ht="12.95" customHeight="1">
      <c r="D386" s="3" t="s">
        <v>1289</v>
      </c>
      <c r="J386" s="1454"/>
      <c r="K386" s="1454"/>
      <c r="L386" s="1454"/>
      <c r="M386" s="1454"/>
      <c r="N386" s="1454"/>
      <c r="O386" s="1454"/>
      <c r="P386" s="1454"/>
      <c r="Q386" s="1454"/>
      <c r="R386" s="1454"/>
      <c r="S386" s="1454"/>
      <c r="T386" s="1454"/>
      <c r="U386" s="1454"/>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54"/>
      <c r="K387" s="1454"/>
      <c r="L387" s="1454"/>
      <c r="M387" s="1454"/>
      <c r="N387" s="1454"/>
      <c r="O387" s="1454"/>
      <c r="P387" s="1454"/>
      <c r="Q387" s="1454"/>
      <c r="R387" s="1454"/>
      <c r="S387" s="1454"/>
      <c r="T387" s="1454"/>
      <c r="U387" s="1454"/>
      <c r="V387" s="3" t="s">
        <v>444</v>
      </c>
      <c r="W387" s="8"/>
      <c r="X387" s="8"/>
      <c r="Y387" s="8"/>
      <c r="Z387" s="8"/>
      <c r="AA387" s="8"/>
      <c r="AB387" s="8"/>
      <c r="AC387" s="1384"/>
      <c r="AD387" s="1384"/>
      <c r="AE387" s="1384"/>
      <c r="AF387" s="1384"/>
      <c r="AG387" s="1384"/>
      <c r="AH387" s="1384"/>
      <c r="AI387" s="1384"/>
      <c r="AJ387" s="1384"/>
    </row>
    <row r="388" spans="4:36" ht="12.95" customHeight="1">
      <c r="D388" t="s">
        <v>1285</v>
      </c>
      <c r="J388" s="1400" t="s">
        <v>2728</v>
      </c>
      <c r="K388" s="1400"/>
      <c r="L388" s="1400"/>
      <c r="M388" s="1400"/>
      <c r="N388" s="1400"/>
      <c r="O388" s="1400"/>
      <c r="P388" s="1400"/>
      <c r="Q388" s="1400"/>
      <c r="R388" s="1400"/>
      <c r="S388" s="1400"/>
      <c r="T388" s="1400"/>
      <c r="U388" s="1400"/>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35">
        <v>45118</v>
      </c>
      <c r="R389" s="1735"/>
      <c r="S389" s="1735"/>
      <c r="T389" s="1735"/>
      <c r="U389" s="1735"/>
      <c r="V389" t="s">
        <v>310</v>
      </c>
      <c r="AI389" s="1380" t="s">
        <v>678</v>
      </c>
      <c r="AJ389" s="1380"/>
    </row>
    <row r="390" spans="4:36" ht="12.95" customHeight="1">
      <c r="D390" t="s">
        <v>5</v>
      </c>
      <c r="Q390" s="1624">
        <v>45473</v>
      </c>
      <c r="R390" s="1732"/>
      <c r="S390" s="1732"/>
      <c r="T390" s="1732"/>
      <c r="U390" s="1732"/>
      <c r="W390" s="21" t="s">
        <v>74</v>
      </c>
      <c r="AG390" s="1473"/>
      <c r="AH390" s="1473"/>
      <c r="AI390" s="1473"/>
      <c r="AJ390" s="1473"/>
    </row>
    <row r="391" spans="4:36" ht="12.95" customHeight="1">
      <c r="D391" t="s">
        <v>428</v>
      </c>
      <c r="Q391" s="1731">
        <v>2500000</v>
      </c>
      <c r="R391" s="1731"/>
      <c r="S391" s="1731"/>
      <c r="T391" s="1731"/>
      <c r="U391" s="1731"/>
      <c r="V391" s="3" t="s">
        <v>1288</v>
      </c>
      <c r="AG391" s="1530">
        <v>45460</v>
      </c>
      <c r="AH391" s="1530"/>
      <c r="AI391" s="1530"/>
      <c r="AJ391" s="1530"/>
    </row>
    <row r="392" spans="4:36" ht="12.95" customHeight="1">
      <c r="D392" t="s">
        <v>88</v>
      </c>
      <c r="I392" s="1523"/>
      <c r="J392" s="1523"/>
      <c r="K392" s="1523"/>
      <c r="L392" s="1523"/>
      <c r="M392" s="1523"/>
      <c r="N392" s="1523"/>
      <c r="Q392" s="4" t="s">
        <v>207</v>
      </c>
      <c r="S392" s="1734"/>
      <c r="T392" s="1734"/>
      <c r="U392" s="1734"/>
      <c r="V392" t="s">
        <v>73</v>
      </c>
      <c r="AI392" s="1380" t="s">
        <v>678</v>
      </c>
      <c r="AJ392" s="1380"/>
    </row>
    <row r="393" spans="4:36" ht="12.95" customHeight="1">
      <c r="D393" t="s">
        <v>311</v>
      </c>
      <c r="Q393" s="1531">
        <f>964300/19</f>
        <v>50752.631578947367</v>
      </c>
      <c r="R393" s="1531"/>
      <c r="S393" s="1531"/>
      <c r="T393" s="1531"/>
      <c r="U393" s="1531"/>
      <c r="V393" t="s">
        <v>312</v>
      </c>
      <c r="AG393" s="1473">
        <v>964300</v>
      </c>
      <c r="AH393" s="1473"/>
      <c r="AI393" s="1473"/>
      <c r="AJ393" s="1473"/>
    </row>
    <row r="394" spans="4:36" ht="12.95" customHeight="1">
      <c r="D394" t="s">
        <v>313</v>
      </c>
      <c r="Q394" s="1580">
        <v>1.37E-2</v>
      </c>
      <c r="R394" s="1580"/>
      <c r="S394" s="1580"/>
      <c r="T394" s="1580"/>
      <c r="U394" s="1580"/>
      <c r="V394" t="s">
        <v>1269</v>
      </c>
      <c r="AG394" s="1473"/>
      <c r="AH394" s="1473"/>
      <c r="AI394" s="1473"/>
      <c r="AJ394" s="1473"/>
    </row>
    <row r="395" spans="4:36" ht="12.95" customHeight="1">
      <c r="D395" t="s">
        <v>1268</v>
      </c>
      <c r="AG395" s="1473"/>
      <c r="AH395" s="1473"/>
      <c r="AI395" s="1473"/>
      <c r="AJ395" s="1473"/>
    </row>
    <row r="396" spans="4:36" ht="12.95" customHeight="1">
      <c r="AG396" s="490"/>
      <c r="AH396" s="490"/>
      <c r="AI396" s="490"/>
      <c r="AJ396" s="490"/>
    </row>
    <row r="397" spans="4:36" ht="12.95" customHeight="1">
      <c r="D397" s="3" t="s">
        <v>2503</v>
      </c>
      <c r="AG397" s="490"/>
      <c r="AH397" s="490"/>
      <c r="AI397" s="1380" t="s">
        <v>678</v>
      </c>
      <c r="AJ397" s="1380"/>
    </row>
    <row r="398" spans="4:36" ht="12.95" customHeight="1">
      <c r="D398" s="3" t="s">
        <v>1782</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1781</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90"/>
      <c r="AH400" s="490"/>
      <c r="AI400" s="490"/>
      <c r="AJ400" s="490"/>
    </row>
    <row r="401" spans="1:36" ht="12.95" customHeight="1">
      <c r="D401" s="3" t="s">
        <v>1775</v>
      </c>
      <c r="S401" s="1434" t="s">
        <v>678</v>
      </c>
      <c r="T401" s="1434"/>
      <c r="U401" s="1434"/>
      <c r="V401" t="s">
        <v>1776</v>
      </c>
      <c r="AG401" s="1483"/>
      <c r="AH401" s="1483"/>
      <c r="AI401" s="1483"/>
      <c r="AJ401" s="1483"/>
    </row>
    <row r="402" spans="1:36" ht="12.95" customHeight="1">
      <c r="D402" s="3" t="s">
        <v>1773</v>
      </c>
      <c r="S402" s="1434" t="s">
        <v>600</v>
      </c>
      <c r="T402" s="1434"/>
      <c r="U402" s="1434"/>
      <c r="V402" t="s">
        <v>1778</v>
      </c>
      <c r="AE402" s="1487"/>
      <c r="AF402" s="1487"/>
      <c r="AG402" s="1487"/>
      <c r="AH402" s="1487"/>
      <c r="AI402" s="1487"/>
      <c r="AJ402" s="1487"/>
    </row>
    <row r="403" spans="1:36" ht="12.95" customHeight="1">
      <c r="D403" s="3" t="s">
        <v>1774</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2.95" customHeight="1">
      <c r="D404" s="3" t="s">
        <v>1777</v>
      </c>
      <c r="K404" s="1482"/>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2.95" customHeight="1">
      <c r="D405" s="3" t="s">
        <v>1780</v>
      </c>
      <c r="E405" s="511"/>
      <c r="F405" s="511"/>
      <c r="G405" s="511"/>
      <c r="H405" s="511"/>
      <c r="I405" s="511"/>
      <c r="J405" s="511"/>
      <c r="K405" s="511"/>
      <c r="L405" s="511"/>
      <c r="M405" s="511"/>
      <c r="N405" s="511"/>
      <c r="O405" s="511"/>
      <c r="P405" s="511"/>
      <c r="Q405" s="511"/>
      <c r="R405" s="511"/>
      <c r="S405" s="1513" t="s">
        <v>1291</v>
      </c>
      <c r="T405" s="1513"/>
      <c r="U405" s="1513"/>
      <c r="V405" s="1513"/>
      <c r="W405" s="1513"/>
      <c r="X405" s="1513"/>
      <c r="Y405" s="1513"/>
      <c r="Z405" s="1513"/>
      <c r="AA405" s="1513"/>
      <c r="AB405" s="1513"/>
      <c r="AC405" s="1513"/>
      <c r="AD405" s="1513"/>
      <c r="AE405" s="1513"/>
      <c r="AF405" s="1513"/>
      <c r="AG405" s="1513"/>
      <c r="AH405" s="1513"/>
      <c r="AI405" s="1513"/>
      <c r="AJ405" s="151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24" t="s">
        <v>2729</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380" t="s">
        <v>600</v>
      </c>
      <c r="S411" s="1380"/>
      <c r="AC411" s="27" t="s">
        <v>579</v>
      </c>
      <c r="AD411" s="1451"/>
      <c r="AE411" s="1451"/>
    </row>
    <row r="412" spans="1:36" ht="12.95" customHeight="1">
      <c r="E412" t="s">
        <v>107</v>
      </c>
      <c r="R412" s="1380" t="s">
        <v>554</v>
      </c>
      <c r="S412" s="1380"/>
      <c r="AC412" s="27" t="s">
        <v>579</v>
      </c>
      <c r="AD412" s="1451">
        <v>3</v>
      </c>
      <c r="AE412" s="1451"/>
    </row>
    <row r="413" spans="1:36" ht="12.95" customHeight="1">
      <c r="E413" t="s">
        <v>108</v>
      </c>
      <c r="S413" s="1380" t="s">
        <v>600</v>
      </c>
      <c r="T413" s="1380"/>
    </row>
    <row r="414" spans="1:36" ht="12.95" customHeight="1">
      <c r="E414" t="s">
        <v>170</v>
      </c>
      <c r="H414" s="1776" t="s">
        <v>335</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2.95"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2.95" customHeight="1"/>
    <row r="417" spans="1:39" ht="12.95" customHeight="1">
      <c r="A417" s="2" t="s">
        <v>599</v>
      </c>
      <c r="B417" s="2"/>
      <c r="C417" s="2"/>
      <c r="D417" s="2" t="s">
        <v>114</v>
      </c>
      <c r="AF417" s="2" t="s">
        <v>977</v>
      </c>
    </row>
    <row r="418" spans="1:39" ht="12.95" customHeight="1">
      <c r="E418" s="1476"/>
      <c r="F418" s="1476"/>
      <c r="G418" s="1476"/>
      <c r="H418" s="13" t="s">
        <v>115</v>
      </c>
      <c r="I418" s="1476"/>
      <c r="J418" s="1476"/>
      <c r="K418" s="1476"/>
      <c r="L418" t="s">
        <v>116</v>
      </c>
      <c r="N418" s="27" t="s">
        <v>584</v>
      </c>
      <c r="P418" s="1733">
        <v>3.53</v>
      </c>
      <c r="Q418" s="1733"/>
      <c r="R418" s="1733"/>
      <c r="S418" t="s">
        <v>117</v>
      </c>
      <c r="W418" s="1441">
        <f>IF(E418&gt;0,(E418*I418),(P418*43560))</f>
        <v>153766.79999999999</v>
      </c>
      <c r="X418" s="1441"/>
      <c r="Y418" s="1441"/>
      <c r="Z418" t="s">
        <v>118</v>
      </c>
      <c r="AF418" s="1730">
        <f>IFERROR(IF(P418&gt;0,(AG437/P418),(AG437/(W418/43560))),0)</f>
        <v>28.328611898016998</v>
      </c>
      <c r="AG418" s="1730"/>
      <c r="AH418" s="1730"/>
      <c r="AM418" s="3"/>
    </row>
    <row r="419" spans="1:39" ht="12.95" customHeight="1">
      <c r="E419" t="s">
        <v>51</v>
      </c>
    </row>
    <row r="420" spans="1:39" ht="12.95"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2.95" customHeight="1">
      <c r="E421" s="118" t="s">
        <v>1927</v>
      </c>
      <c r="F421" s="1048"/>
      <c r="G421" s="1048"/>
      <c r="H421" s="1048"/>
      <c r="I421" s="1578">
        <v>3.53</v>
      </c>
      <c r="J421" s="1578"/>
      <c r="K421" s="1578"/>
      <c r="L421" s="1048"/>
      <c r="M421" s="118"/>
      <c r="N421" s="1048"/>
      <c r="O421" s="1048"/>
      <c r="P421" s="1774">
        <f>(CS634+CS642+CS658)/I421</f>
        <v>57.22379603399434</v>
      </c>
      <c r="Q421" s="1774"/>
      <c r="R421" s="1774"/>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4</v>
      </c>
      <c r="Q424" s="1380"/>
      <c r="S424" t="s">
        <v>190</v>
      </c>
      <c r="AE424" s="1380">
        <v>4</v>
      </c>
      <c r="AF424" s="1380"/>
    </row>
    <row r="425" spans="1:39" ht="12.95" customHeight="1">
      <c r="E425" t="s">
        <v>191</v>
      </c>
      <c r="P425" s="1380">
        <v>0</v>
      </c>
      <c r="Q425" s="1380"/>
      <c r="S425" t="s">
        <v>131</v>
      </c>
      <c r="AE425" s="1380" t="s">
        <v>600</v>
      </c>
      <c r="AF425" s="1380"/>
    </row>
    <row r="426" spans="1:39" ht="12.95" customHeight="1">
      <c r="F426" s="28" t="s">
        <v>132</v>
      </c>
    </row>
    <row r="427" spans="1:39" ht="12.95"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2.95"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2.95" customHeight="1">
      <c r="E429" t="s">
        <v>617</v>
      </c>
      <c r="P429" s="1"/>
      <c r="Q429" s="1380" t="s">
        <v>554</v>
      </c>
      <c r="R429" s="1380"/>
    </row>
    <row r="430" spans="1:39" ht="12.95" customHeight="1">
      <c r="F430" t="s">
        <v>618</v>
      </c>
      <c r="P430" s="1"/>
      <c r="Q430" s="1"/>
      <c r="AF430" s="1380" t="s">
        <v>600</v>
      </c>
      <c r="AG430" s="1452"/>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79"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9"/>
      <c r="AG437" s="1456">
        <v>100</v>
      </c>
      <c r="AH437" s="1456"/>
      <c r="AI437" s="1456"/>
      <c r="AJ437" s="1456"/>
    </row>
    <row r="438" spans="1:110" ht="12.95" customHeight="1">
      <c r="D438" s="1445" t="s">
        <v>1330</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7"/>
      <c r="AG438" s="1484">
        <v>0</v>
      </c>
      <c r="AH438" s="1485"/>
      <c r="AI438" s="1485"/>
      <c r="AJ438" s="1485"/>
    </row>
    <row r="439" spans="1:110" ht="12.95" customHeight="1">
      <c r="D439" s="1445" t="s">
        <v>1056</v>
      </c>
      <c r="E439" s="1446"/>
      <c r="F439" s="1446"/>
      <c r="G439" s="1446"/>
      <c r="H439" s="1446"/>
      <c r="I439" s="1446"/>
      <c r="J439" s="1446"/>
      <c r="K439" s="1446"/>
      <c r="L439" s="1446"/>
      <c r="M439" s="1446"/>
      <c r="N439" s="1446"/>
      <c r="O439" s="1446"/>
      <c r="P439" s="1446"/>
      <c r="Q439" s="1446"/>
      <c r="R439" s="1446"/>
      <c r="S439" s="1446"/>
      <c r="T439" s="1446"/>
      <c r="U439" s="1446"/>
      <c r="V439" s="1446"/>
      <c r="W439" s="1446"/>
      <c r="X439" s="1446"/>
      <c r="Y439" s="1446"/>
      <c r="Z439" s="1446"/>
      <c r="AA439" s="1446"/>
      <c r="AB439" s="1446"/>
      <c r="AC439" s="1446"/>
      <c r="AD439" s="1446"/>
      <c r="AE439" s="1446"/>
      <c r="AF439" s="1447"/>
      <c r="AG439" s="1456">
        <v>99</v>
      </c>
      <c r="AH439" s="1456"/>
      <c r="AI439" s="1456"/>
      <c r="AJ439" s="1456"/>
    </row>
    <row r="440" spans="1:110" ht="12.95" customHeight="1">
      <c r="D440" s="1445" t="s">
        <v>1057</v>
      </c>
      <c r="E440" s="1446"/>
      <c r="F440" s="1446"/>
      <c r="G440" s="1446"/>
      <c r="H440" s="1446"/>
      <c r="I440" s="1446"/>
      <c r="J440" s="1446"/>
      <c r="K440" s="1446"/>
      <c r="L440" s="1446"/>
      <c r="M440" s="1446"/>
      <c r="N440" s="1446"/>
      <c r="O440" s="1446"/>
      <c r="P440" s="1446"/>
      <c r="Q440" s="1446"/>
      <c r="R440" s="1446"/>
      <c r="S440" s="1446"/>
      <c r="T440" s="1446"/>
      <c r="U440" s="1446"/>
      <c r="V440" s="1446"/>
      <c r="W440" s="1446"/>
      <c r="X440" s="1446"/>
      <c r="Y440" s="1446"/>
      <c r="Z440" s="1446"/>
      <c r="AA440" s="1446"/>
      <c r="AB440" s="1446"/>
      <c r="AC440" s="1446"/>
      <c r="AD440" s="1446"/>
      <c r="AE440" s="1446"/>
      <c r="AF440" s="1447"/>
      <c r="AG440" s="1456">
        <v>99</v>
      </c>
      <c r="AH440" s="1456"/>
      <c r="AI440" s="1456"/>
      <c r="AJ440" s="1456"/>
    </row>
    <row r="441" spans="1:110" ht="12.95" customHeight="1">
      <c r="D441" s="1445" t="s">
        <v>1059</v>
      </c>
      <c r="E441" s="1446"/>
      <c r="F441" s="1446"/>
      <c r="G441" s="1446"/>
      <c r="H441" s="1446"/>
      <c r="I441" s="1446"/>
      <c r="J441" s="1446"/>
      <c r="K441" s="1446"/>
      <c r="L441" s="1446"/>
      <c r="M441" s="1446"/>
      <c r="N441" s="1446"/>
      <c r="O441" s="1446"/>
      <c r="P441" s="1446"/>
      <c r="Q441" s="1446"/>
      <c r="R441" s="1446"/>
      <c r="S441" s="1446"/>
      <c r="T441" s="1446"/>
      <c r="U441" s="1446"/>
      <c r="V441" s="1446"/>
      <c r="W441" s="1446"/>
      <c r="X441" s="1446"/>
      <c r="Y441" s="1446"/>
      <c r="Z441" s="1446"/>
      <c r="AA441" s="1446"/>
      <c r="AB441" s="1446"/>
      <c r="AC441" s="1446"/>
      <c r="AD441" s="1446"/>
      <c r="AE441" s="1446"/>
      <c r="AF441" s="1447"/>
      <c r="AG441" s="1460">
        <f>IF(ISERROR(AG440/AG439),"",AG440/AG439)</f>
        <v>1</v>
      </c>
      <c r="AH441" s="1460"/>
      <c r="AI441" s="1460"/>
      <c r="AJ441" s="1460"/>
    </row>
    <row r="442" spans="1:110" ht="12.95" customHeight="1">
      <c r="D442" s="1445" t="s">
        <v>1058</v>
      </c>
      <c r="E442" s="1446"/>
      <c r="F442" s="1446"/>
      <c r="G442" s="1446"/>
      <c r="H442" s="1446"/>
      <c r="I442" s="1446"/>
      <c r="J442" s="1446"/>
      <c r="K442" s="1446"/>
      <c r="L442" s="1446"/>
      <c r="M442" s="1446"/>
      <c r="N442" s="1446"/>
      <c r="O442" s="1446"/>
      <c r="P442" s="1446"/>
      <c r="Q442" s="1446"/>
      <c r="R442" s="1446"/>
      <c r="S442" s="1446"/>
      <c r="T442" s="1446"/>
      <c r="U442" s="1446"/>
      <c r="V442" s="1446"/>
      <c r="W442" s="1446"/>
      <c r="X442" s="1446"/>
      <c r="Y442" s="1446"/>
      <c r="Z442" s="1446"/>
      <c r="AA442" s="1446"/>
      <c r="AB442" s="1446"/>
      <c r="AC442" s="1446"/>
      <c r="AD442" s="1446"/>
      <c r="AE442" s="1446"/>
      <c r="AF442" s="1447"/>
      <c r="AG442" s="1405">
        <v>89645</v>
      </c>
      <c r="AH442" s="1405"/>
      <c r="AI442" s="1405"/>
      <c r="AJ442" s="1405"/>
    </row>
    <row r="443" spans="1:110" ht="12.95" customHeight="1">
      <c r="D443" s="1445" t="s">
        <v>1060</v>
      </c>
      <c r="E443" s="1446"/>
      <c r="F443" s="1446"/>
      <c r="G443" s="1446"/>
      <c r="H443" s="1446"/>
      <c r="I443" s="1446"/>
      <c r="J443" s="1446"/>
      <c r="K443" s="1446"/>
      <c r="L443" s="1446"/>
      <c r="M443" s="1446"/>
      <c r="N443" s="1446"/>
      <c r="O443" s="1446"/>
      <c r="P443" s="1446"/>
      <c r="Q443" s="1446"/>
      <c r="R443" s="1446"/>
      <c r="S443" s="1446"/>
      <c r="T443" s="1446"/>
      <c r="U443" s="1446"/>
      <c r="V443" s="1446"/>
      <c r="W443" s="1446"/>
      <c r="X443" s="1446"/>
      <c r="Y443" s="1446"/>
      <c r="Z443" s="1446"/>
      <c r="AA443" s="1446"/>
      <c r="AB443" s="1446"/>
      <c r="AC443" s="1446"/>
      <c r="AD443" s="1446"/>
      <c r="AE443" s="1446"/>
      <c r="AF443" s="1447"/>
      <c r="AG443" s="1405">
        <v>89645</v>
      </c>
      <c r="AH443" s="1405"/>
      <c r="AI443" s="1405"/>
      <c r="AJ443" s="1405"/>
    </row>
    <row r="444" spans="1:110" ht="12.95" customHeight="1">
      <c r="D444" s="1445" t="s">
        <v>1061</v>
      </c>
      <c r="E444" s="1446"/>
      <c r="F444" s="1446"/>
      <c r="G444" s="1446"/>
      <c r="H444" s="1446"/>
      <c r="I444" s="1446"/>
      <c r="J444" s="1446"/>
      <c r="K444" s="1446"/>
      <c r="L444" s="1446"/>
      <c r="M444" s="1446"/>
      <c r="N444" s="1446"/>
      <c r="O444" s="1446"/>
      <c r="P444" s="1446"/>
      <c r="Q444" s="1446"/>
      <c r="R444" s="1446"/>
      <c r="S444" s="1446"/>
      <c r="T444" s="1446"/>
      <c r="U444" s="1446"/>
      <c r="V444" s="1446"/>
      <c r="W444" s="1446"/>
      <c r="X444" s="1446"/>
      <c r="Y444" s="1446"/>
      <c r="Z444" s="1446"/>
      <c r="AA444" s="1446"/>
      <c r="AB444" s="1446"/>
      <c r="AC444" s="1446"/>
      <c r="AD444" s="1446"/>
      <c r="AE444" s="1446"/>
      <c r="AF444" s="1447"/>
      <c r="AG444" s="1460">
        <f>IF(ISERROR(AG443/AG442),"",AG443/AG442)</f>
        <v>1</v>
      </c>
      <c r="AH444" s="1460"/>
      <c r="AI444" s="1460"/>
      <c r="AJ444" s="1460"/>
    </row>
    <row r="445" spans="1:110" ht="12.95" customHeight="1">
      <c r="D445" s="1445" t="s">
        <v>1062</v>
      </c>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6"/>
      <c r="AB445" s="1446"/>
      <c r="AC445" s="1446"/>
      <c r="AD445" s="1446"/>
      <c r="AE445" s="1446"/>
      <c r="AF445" s="1447"/>
      <c r="AG445" s="1460">
        <f>MIN(IF(AG441&gt;AG444,AG444,AG441),1)</f>
        <v>1</v>
      </c>
      <c r="AH445" s="1460"/>
      <c r="AI445" s="1460"/>
      <c r="AJ445" s="1460"/>
    </row>
    <row r="446" spans="1:110" ht="12.95" customHeight="1">
      <c r="D446" s="1445" t="s">
        <v>2405</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9"/>
      <c r="AG446" s="1405">
        <v>2689</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9" t="s">
        <v>578</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05">
        <v>0</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5" t="s">
        <v>1312</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05">
        <v>12081</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5" t="s">
        <v>1063</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05">
        <v>0</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57">
        <f>AG442+AG446+AG448+AG449</f>
        <v>104415</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745644.94</v>
      </c>
      <c r="AD454" s="1397"/>
      <c r="AE454" s="1397"/>
      <c r="AF454" s="139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745644.94</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671787.15</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9" t="s">
        <v>2419</v>
      </c>
      <c r="E465" s="1410"/>
      <c r="F465" s="1410"/>
      <c r="G465" s="1410"/>
      <c r="H465" s="1410"/>
      <c r="I465" s="1410"/>
      <c r="J465" s="1410"/>
      <c r="K465" s="1410"/>
      <c r="L465" s="1410"/>
      <c r="M465" s="1410"/>
      <c r="N465" s="1410"/>
      <c r="O465" s="1410"/>
      <c r="P465" s="1410"/>
      <c r="Q465" s="1410"/>
      <c r="R465" s="1410"/>
      <c r="S465" s="1410"/>
      <c r="T465" s="1410"/>
      <c r="U465" s="1410"/>
      <c r="V465" s="1411"/>
      <c r="W465" s="1430">
        <v>0</v>
      </c>
      <c r="X465" s="1431"/>
      <c r="Y465" s="14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9" t="s">
        <v>703</v>
      </c>
      <c r="E466" s="1410"/>
      <c r="F466" s="1410"/>
      <c r="G466" s="1410"/>
      <c r="H466" s="1410"/>
      <c r="I466" s="1410"/>
      <c r="J466" s="1410"/>
      <c r="K466" s="1410"/>
      <c r="L466" s="1410"/>
      <c r="M466" s="1410"/>
      <c r="N466" s="1410"/>
      <c r="O466" s="1410"/>
      <c r="P466" s="1410"/>
      <c r="Q466" s="1410"/>
      <c r="R466" s="1410"/>
      <c r="S466" s="1410"/>
      <c r="T466" s="1410"/>
      <c r="U466" s="1410"/>
      <c r="V466" s="1411"/>
      <c r="W466" s="1430">
        <v>0</v>
      </c>
      <c r="X466" s="1431"/>
      <c r="Y466" s="14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9" t="s">
        <v>704</v>
      </c>
      <c r="E467" s="1410"/>
      <c r="F467" s="1410"/>
      <c r="G467" s="1410"/>
      <c r="H467" s="1410"/>
      <c r="I467" s="1410"/>
      <c r="J467" s="1410"/>
      <c r="K467" s="1410"/>
      <c r="L467" s="1410"/>
      <c r="M467" s="1410"/>
      <c r="N467" s="1410"/>
      <c r="O467" s="1410"/>
      <c r="P467" s="1410"/>
      <c r="Q467" s="1410"/>
      <c r="R467" s="1410"/>
      <c r="S467" s="1410"/>
      <c r="T467" s="1410"/>
      <c r="U467" s="1410"/>
      <c r="V467" s="1411"/>
      <c r="W467" s="1430">
        <v>0</v>
      </c>
      <c r="X467" s="1431"/>
      <c r="Y467" s="14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9" t="s">
        <v>705</v>
      </c>
      <c r="E468" s="1410"/>
      <c r="F468" s="1410"/>
      <c r="G468" s="1410"/>
      <c r="H468" s="1410"/>
      <c r="I468" s="1410"/>
      <c r="J468" s="1410"/>
      <c r="K468" s="1410"/>
      <c r="L468" s="1410"/>
      <c r="M468" s="1410"/>
      <c r="N468" s="1410"/>
      <c r="O468" s="1410"/>
      <c r="P468" s="1410"/>
      <c r="Q468" s="1410"/>
      <c r="R468" s="1410"/>
      <c r="S468" s="1410"/>
      <c r="T468" s="1410"/>
      <c r="U468" s="1410"/>
      <c r="V468" s="1411"/>
      <c r="W468" s="1430">
        <v>0</v>
      </c>
      <c r="X468" s="1431"/>
      <c r="Y468" s="14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9" t="s">
        <v>894</v>
      </c>
      <c r="E469" s="1410"/>
      <c r="F469" s="1410"/>
      <c r="G469" s="1410"/>
      <c r="H469" s="1410"/>
      <c r="I469" s="1410"/>
      <c r="J469" s="1410"/>
      <c r="K469" s="1410"/>
      <c r="L469" s="1410"/>
      <c r="M469" s="1410"/>
      <c r="N469" s="1410"/>
      <c r="O469" s="1410"/>
      <c r="P469" s="1410"/>
      <c r="Q469" s="1410"/>
      <c r="R469" s="1410"/>
      <c r="S469" s="1410"/>
      <c r="T469" s="1410"/>
      <c r="U469" s="1410"/>
      <c r="V469" s="1411"/>
      <c r="W469" s="1430">
        <v>0</v>
      </c>
      <c r="X469" s="1431"/>
      <c r="Y469" s="143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9" t="s">
        <v>706</v>
      </c>
      <c r="E470" s="1410"/>
      <c r="F470" s="1410"/>
      <c r="G470" s="1410"/>
      <c r="H470" s="1410"/>
      <c r="I470" s="1410"/>
      <c r="J470" s="1410"/>
      <c r="K470" s="1410"/>
      <c r="L470" s="1410"/>
      <c r="M470" s="1410"/>
      <c r="N470" s="1410"/>
      <c r="O470" s="1410"/>
      <c r="P470" s="1410"/>
      <c r="Q470" s="1410"/>
      <c r="R470" s="1410"/>
      <c r="S470" s="1410"/>
      <c r="T470" s="1410"/>
      <c r="U470" s="1410"/>
      <c r="V470" s="1411"/>
      <c r="W470" s="1430">
        <v>30</v>
      </c>
      <c r="X470" s="1431"/>
      <c r="Y470" s="143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1037</v>
      </c>
      <c r="E471" s="1410"/>
      <c r="F471" s="1410"/>
      <c r="G471" s="1410"/>
      <c r="H471" s="1410"/>
      <c r="I471" s="1410"/>
      <c r="J471" s="1410"/>
      <c r="K471" s="1410"/>
      <c r="L471" s="1410"/>
      <c r="M471" s="1410"/>
      <c r="N471" s="1410"/>
      <c r="O471" s="1410"/>
      <c r="P471" s="1410"/>
      <c r="Q471" s="1410"/>
      <c r="R471" s="1410"/>
      <c r="S471" s="1410"/>
      <c r="T471" s="1410"/>
      <c r="U471" s="1410"/>
      <c r="V471" s="1411"/>
      <c r="W471" s="1430">
        <v>0</v>
      </c>
      <c r="X471" s="1431"/>
      <c r="Y471" s="14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9" t="s">
        <v>2556</v>
      </c>
      <c r="E472" s="1428"/>
      <c r="F472" s="1428"/>
      <c r="G472" s="1428"/>
      <c r="H472" s="1428"/>
      <c r="I472" s="1428"/>
      <c r="J472" s="1428"/>
      <c r="K472" s="1428"/>
      <c r="L472" s="1428"/>
      <c r="M472" s="1428"/>
      <c r="N472" s="1428"/>
      <c r="O472" s="1428"/>
      <c r="P472" s="1428"/>
      <c r="Q472" s="1428"/>
      <c r="R472" s="1428"/>
      <c r="S472" s="1428"/>
      <c r="T472" s="1428"/>
      <c r="U472" s="1428"/>
      <c r="V472" s="1429"/>
      <c r="W472" s="1430">
        <v>0</v>
      </c>
      <c r="X472" s="1431"/>
      <c r="Y472" s="14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9" t="s">
        <v>1768</v>
      </c>
      <c r="E473" s="1410"/>
      <c r="F473" s="1410"/>
      <c r="G473" s="1410"/>
      <c r="H473" s="1410"/>
      <c r="I473" s="1410"/>
      <c r="J473" s="1410"/>
      <c r="K473" s="1410"/>
      <c r="L473" s="1410"/>
      <c r="M473" s="1410"/>
      <c r="N473" s="1410"/>
      <c r="O473" s="1410"/>
      <c r="P473" s="1410"/>
      <c r="Q473" s="1410"/>
      <c r="R473" s="1410"/>
      <c r="S473" s="1410"/>
      <c r="T473" s="1410"/>
      <c r="U473" s="1410"/>
      <c r="V473" s="1411"/>
      <c r="W473" s="1430">
        <v>0</v>
      </c>
      <c r="X473" s="1431"/>
      <c r="Y473" s="14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7"/>
      <c r="H474" s="1518"/>
      <c r="I474" s="1518"/>
      <c r="J474" s="1518"/>
      <c r="K474" s="1518"/>
      <c r="L474" s="1518"/>
      <c r="M474" s="1518"/>
      <c r="N474" s="1518"/>
      <c r="O474" s="1518"/>
      <c r="P474" s="1518"/>
      <c r="Q474" s="1518"/>
      <c r="R474" s="1518"/>
      <c r="S474" s="1518"/>
      <c r="T474" s="1518"/>
      <c r="U474" s="1518"/>
      <c r="V474" s="1519"/>
      <c r="W474" s="1430">
        <v>0</v>
      </c>
      <c r="X474" s="1431"/>
      <c r="Y474" s="14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820</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4" t="s">
        <v>394</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3" t="s">
        <v>2730</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455"/>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3" t="s">
        <v>2731</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45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3" t="s">
        <v>2732</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1" t="s">
        <v>398</v>
      </c>
      <c r="C489" s="1462"/>
      <c r="D489" s="1462"/>
      <c r="E489" s="1462"/>
      <c r="F489" s="1462"/>
      <c r="G489" s="1462"/>
      <c r="H489" s="1462"/>
      <c r="I489" s="1462"/>
      <c r="J489" s="1462"/>
      <c r="K489" s="1462"/>
      <c r="L489" s="1462"/>
      <c r="M489" s="1462"/>
      <c r="N489" s="1462"/>
      <c r="O489" s="1462"/>
      <c r="P489" s="1463"/>
      <c r="Q489" s="1467" t="s">
        <v>678</v>
      </c>
      <c r="R489" s="1468"/>
      <c r="S489" s="1533" t="s">
        <v>166</v>
      </c>
      <c r="T489" s="1534"/>
      <c r="U489" s="1534"/>
      <c r="V489" s="1534"/>
      <c r="W489" s="1534"/>
      <c r="X489" s="1534"/>
      <c r="Y489" s="1534"/>
      <c r="Z489" s="1534"/>
      <c r="AA489" s="1534"/>
      <c r="AB489" s="1534"/>
      <c r="AC489" s="1534"/>
      <c r="AD489" s="1534"/>
      <c r="AE489" s="1534"/>
      <c r="AF489" s="1534"/>
      <c r="AG489" s="1534"/>
      <c r="AH489" s="1534"/>
      <c r="AI489" s="1534"/>
      <c r="AJ489" s="1534"/>
      <c r="AK489" s="15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4"/>
      <c r="C490" s="1465"/>
      <c r="D490" s="1465"/>
      <c r="E490" s="1465"/>
      <c r="F490" s="1465"/>
      <c r="G490" s="1465"/>
      <c r="H490" s="1465"/>
      <c r="I490" s="1465"/>
      <c r="J490" s="1465"/>
      <c r="K490" s="1465"/>
      <c r="L490" s="1465"/>
      <c r="M490" s="1465"/>
      <c r="N490" s="1465"/>
      <c r="O490" s="1465"/>
      <c r="P490" s="1466"/>
      <c r="Q490" s="1469"/>
      <c r="R490" s="1470"/>
      <c r="S490" s="1536"/>
      <c r="T490" s="1478"/>
      <c r="U490" s="1478"/>
      <c r="V490" s="1478"/>
      <c r="W490" s="1478"/>
      <c r="X490" s="1478"/>
      <c r="Y490" s="1478"/>
      <c r="Z490" s="1478"/>
      <c r="AA490" s="1478"/>
      <c r="AB490" s="1478"/>
      <c r="AC490" s="1478"/>
      <c r="AD490" s="1478"/>
      <c r="AE490" s="1478"/>
      <c r="AF490" s="1478"/>
      <c r="AG490" s="1478"/>
      <c r="AH490" s="1478"/>
      <c r="AI490" s="1478"/>
      <c r="AJ490" s="1478"/>
      <c r="AK490" s="15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02" t="s">
        <v>678</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3" t="s">
        <v>2733</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45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3">
        <f>138/100</f>
        <v>1.38</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45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3">
        <v>143</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45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06"/>
      <c r="N495" s="1407"/>
      <c r="O495" s="1407"/>
      <c r="P495" s="1408"/>
      <c r="Q495" s="121" t="s">
        <v>1785</v>
      </c>
      <c r="R495" s="5"/>
      <c r="S495" s="5"/>
      <c r="T495" s="5"/>
      <c r="U495" s="5"/>
      <c r="V495" s="5"/>
      <c r="W495" s="5"/>
      <c r="X495" s="5"/>
      <c r="Y495" s="5"/>
      <c r="Z495" s="5"/>
      <c r="AA495" s="5"/>
      <c r="AB495" s="5"/>
      <c r="AC495" s="5"/>
      <c r="AD495" s="5"/>
      <c r="AE495" s="5"/>
      <c r="AF495" s="5"/>
      <c r="AG495" s="5"/>
      <c r="AH495" s="1406">
        <v>143</v>
      </c>
      <c r="AI495" s="1407"/>
      <c r="AJ495" s="1407"/>
      <c r="AK495" s="140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402</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403</v>
      </c>
      <c r="AD500" s="1515"/>
      <c r="AE500" s="1515"/>
      <c r="AF500" s="1515"/>
      <c r="AG500" s="50" t="s">
        <v>404</v>
      </c>
      <c r="AH500" s="1515" t="s">
        <v>405</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50" t="s">
        <v>600</v>
      </c>
      <c r="AD501" s="1451"/>
      <c r="AE501" s="1451"/>
      <c r="AF501" s="1451"/>
      <c r="AG501" s="13" t="s">
        <v>404</v>
      </c>
      <c r="AH501" s="1400"/>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50">
        <v>6</v>
      </c>
      <c r="AD502" s="1451"/>
      <c r="AE502" s="1451"/>
      <c r="AF502" s="1451"/>
      <c r="AG502" s="38" t="s">
        <v>404</v>
      </c>
      <c r="AH502" s="1400">
        <v>2024</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50" t="s">
        <v>600</v>
      </c>
      <c r="AD503" s="1451"/>
      <c r="AE503" s="1451"/>
      <c r="AF503" s="1451"/>
      <c r="AG503" s="13" t="s">
        <v>404</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2"/>
      <c r="C504" s="1423"/>
      <c r="D504" s="1423"/>
      <c r="E504" s="1423"/>
      <c r="F504" s="1423"/>
      <c r="G504" s="1423"/>
      <c r="H504" s="1424"/>
      <c r="I504" t="s">
        <v>411</v>
      </c>
      <c r="AC504" s="1450" t="s">
        <v>600</v>
      </c>
      <c r="AD504" s="1451"/>
      <c r="AE504" s="1451"/>
      <c r="AF504" s="1451"/>
      <c r="AG504" s="13" t="s">
        <v>404</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2"/>
      <c r="C505" s="1423"/>
      <c r="D505" s="1423"/>
      <c r="E505" s="1423"/>
      <c r="F505" s="1423"/>
      <c r="G505" s="1423"/>
      <c r="H505" s="1424"/>
      <c r="I505" t="s">
        <v>412</v>
      </c>
      <c r="AC505" s="1450" t="s">
        <v>600</v>
      </c>
      <c r="AD505" s="1451"/>
      <c r="AE505" s="1451"/>
      <c r="AF505" s="1451"/>
      <c r="AG505" s="13" t="s">
        <v>404</v>
      </c>
      <c r="AH505" s="1400"/>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2"/>
      <c r="C506" s="1423"/>
      <c r="D506" s="1423"/>
      <c r="E506" s="1423"/>
      <c r="F506" s="1423"/>
      <c r="G506" s="1423"/>
      <c r="H506" s="1424"/>
      <c r="I506" t="s">
        <v>413</v>
      </c>
      <c r="AC506" s="1450">
        <v>11</v>
      </c>
      <c r="AD506" s="1451"/>
      <c r="AE506" s="1451"/>
      <c r="AF506" s="1451"/>
      <c r="AG506" s="13" t="s">
        <v>404</v>
      </c>
      <c r="AH506" s="1400">
        <v>2024</v>
      </c>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2"/>
      <c r="C507" s="1423"/>
      <c r="D507" s="1423"/>
      <c r="E507" s="1423"/>
      <c r="F507" s="1423"/>
      <c r="G507" s="1423"/>
      <c r="H507" s="1424"/>
      <c r="I507" s="3" t="s">
        <v>414</v>
      </c>
      <c r="AC507" s="1355">
        <v>11</v>
      </c>
      <c r="AD507" s="1356"/>
      <c r="AE507" s="1356"/>
      <c r="AF507" s="1356"/>
      <c r="AG507" s="13" t="s">
        <v>404</v>
      </c>
      <c r="AH507" s="1400">
        <v>2024</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2"/>
      <c r="C508" s="1423"/>
      <c r="D508" s="1423"/>
      <c r="E508" s="1423"/>
      <c r="F508" s="1423"/>
      <c r="G508" s="1423"/>
      <c r="H508" s="1424"/>
      <c r="I508" s="931" t="s">
        <v>170</v>
      </c>
      <c r="J508" s="48"/>
      <c r="K508" s="48"/>
      <c r="L508" s="1433" t="s">
        <v>335</v>
      </c>
      <c r="M508" s="1434"/>
      <c r="N508" s="1434"/>
      <c r="O508" s="1434"/>
      <c r="P508" s="1434"/>
      <c r="Q508" s="1434"/>
      <c r="R508" s="1434"/>
      <c r="S508" s="1434"/>
      <c r="T508" s="1434"/>
      <c r="U508" s="1434"/>
      <c r="V508" s="1434"/>
      <c r="W508" s="1434"/>
      <c r="X508" s="1434"/>
      <c r="Y508" s="1434"/>
      <c r="Z508" s="1434"/>
      <c r="AA508" s="1434"/>
      <c r="AB508" s="1505"/>
      <c r="AC508" s="1450" t="s">
        <v>600</v>
      </c>
      <c r="AD508" s="1451"/>
      <c r="AE508" s="1451"/>
      <c r="AF508" s="1451"/>
      <c r="AG508" s="38" t="s">
        <v>404</v>
      </c>
      <c r="AH508" s="1400"/>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56" t="s">
        <v>678</v>
      </c>
      <c r="AD509" s="1456"/>
      <c r="AE509" s="1456"/>
      <c r="AF509" s="1456"/>
      <c r="AG509" s="13"/>
      <c r="AH509" s="1305"/>
      <c r="AI509" s="1305"/>
      <c r="AJ509" s="1305"/>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c r="AD510" s="1356"/>
      <c r="AE510" s="1356"/>
      <c r="AF510" s="1357"/>
      <c r="AG510" s="13"/>
      <c r="AH510" s="1305"/>
      <c r="AI510" s="1305"/>
      <c r="AJ510" s="1305"/>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95"/>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6" t="s">
        <v>403</v>
      </c>
      <c r="AD513" s="1492"/>
      <c r="AE513" s="1492"/>
      <c r="AF513" s="1492"/>
      <c r="AG513" s="38" t="s">
        <v>404</v>
      </c>
      <c r="AH513" s="1492" t="s">
        <v>405</v>
      </c>
      <c r="AI513" s="1492"/>
      <c r="AJ513" s="1492"/>
      <c r="AK513" s="149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50">
        <v>4</v>
      </c>
      <c r="AD514" s="1451"/>
      <c r="AE514" s="1451"/>
      <c r="AF514" s="1451"/>
      <c r="AG514" s="13" t="s">
        <v>404</v>
      </c>
      <c r="AH514" s="1400">
        <v>2024</v>
      </c>
      <c r="AI514" s="1400"/>
      <c r="AJ514" s="1400"/>
      <c r="AK514" s="1401"/>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2"/>
      <c r="C515" s="1423"/>
      <c r="D515" s="1423"/>
      <c r="E515" s="1423"/>
      <c r="F515" s="1423"/>
      <c r="G515" s="1423"/>
      <c r="H515" s="1424"/>
      <c r="I515" t="s">
        <v>417</v>
      </c>
      <c r="AC515" s="1450">
        <v>4</v>
      </c>
      <c r="AD515" s="1451"/>
      <c r="AE515" s="1451"/>
      <c r="AF515" s="1451"/>
      <c r="AG515" s="13" t="s">
        <v>404</v>
      </c>
      <c r="AH515" s="1400">
        <v>2024</v>
      </c>
      <c r="AI515" s="1400"/>
      <c r="AJ515" s="1400"/>
      <c r="AK515" s="1401"/>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50">
        <v>11</v>
      </c>
      <c r="AD516" s="1451"/>
      <c r="AE516" s="1451"/>
      <c r="AF516" s="1451"/>
      <c r="AG516" s="38" t="s">
        <v>404</v>
      </c>
      <c r="AH516" s="1400">
        <v>2024</v>
      </c>
      <c r="AI516" s="1400"/>
      <c r="AJ516" s="1400"/>
      <c r="AK516" s="1401"/>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404</v>
      </c>
      <c r="AH517" s="1400">
        <v>2024</v>
      </c>
      <c r="AI517" s="1400"/>
      <c r="AJ517" s="1400"/>
      <c r="AK517" s="1401"/>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2"/>
      <c r="C518" s="1423"/>
      <c r="D518" s="1423"/>
      <c r="E518" s="1423"/>
      <c r="F518" s="1423"/>
      <c r="G518" s="1423"/>
      <c r="H518" s="1424"/>
      <c r="I518" t="s">
        <v>417</v>
      </c>
      <c r="AC518" s="1450">
        <v>4</v>
      </c>
      <c r="AD518" s="1451"/>
      <c r="AE518" s="1451"/>
      <c r="AF518" s="1451"/>
      <c r="AG518" s="13" t="s">
        <v>404</v>
      </c>
      <c r="AH518" s="1400">
        <v>2024</v>
      </c>
      <c r="AI518" s="1400"/>
      <c r="AJ518" s="1400"/>
      <c r="AK518" s="1401"/>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50">
        <v>11</v>
      </c>
      <c r="AD519" s="1451"/>
      <c r="AE519" s="1451"/>
      <c r="AF519" s="1451"/>
      <c r="AG519" s="38" t="s">
        <v>404</v>
      </c>
      <c r="AH519" s="1400">
        <v>2024</v>
      </c>
      <c r="AI519" s="1400"/>
      <c r="AJ519" s="1400"/>
      <c r="AK519" s="1401"/>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9" t="s">
        <v>420</v>
      </c>
      <c r="C520" s="1420"/>
      <c r="D520" s="1420"/>
      <c r="E520" s="1420"/>
      <c r="F520" s="1420"/>
      <c r="G520" s="1420"/>
      <c r="H520" s="1421"/>
      <c r="I520" s="41" t="s">
        <v>421</v>
      </c>
      <c r="J520" s="42"/>
      <c r="K520" s="42"/>
      <c r="L520" s="42"/>
      <c r="M520" s="42"/>
      <c r="N520" s="42"/>
      <c r="O520" s="1433" t="s">
        <v>2734</v>
      </c>
      <c r="P520" s="1434"/>
      <c r="Q520" s="1434"/>
      <c r="R520" s="1434"/>
      <c r="S520" s="1434"/>
      <c r="T520" s="1434"/>
      <c r="U520" s="1434"/>
      <c r="V520" s="1434"/>
      <c r="W520" s="1434"/>
      <c r="X520" s="1434"/>
      <c r="Y520" s="1434"/>
      <c r="Z520" s="1434"/>
      <c r="AA520" s="1434"/>
      <c r="AB520" s="58"/>
      <c r="AC520" s="1355">
        <v>3</v>
      </c>
      <c r="AD520" s="1356"/>
      <c r="AE520" s="1356"/>
      <c r="AF520" s="1356"/>
      <c r="AG520" s="129" t="s">
        <v>404</v>
      </c>
      <c r="AH520" s="1400">
        <v>2024</v>
      </c>
      <c r="AI520" s="1400"/>
      <c r="AJ520" s="1400"/>
      <c r="AK520" s="1401"/>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2"/>
      <c r="C521" s="1423"/>
      <c r="D521" s="1423"/>
      <c r="E521" s="1423"/>
      <c r="F521" s="1423"/>
      <c r="G521" s="1423"/>
      <c r="H521" s="1424"/>
      <c r="I521" s="114" t="s">
        <v>422</v>
      </c>
      <c r="AB521" s="65"/>
      <c r="AC521" s="1450">
        <v>7</v>
      </c>
      <c r="AD521" s="1451"/>
      <c r="AE521" s="1451"/>
      <c r="AF521" s="1451"/>
      <c r="AG521" s="13" t="s">
        <v>404</v>
      </c>
      <c r="AH521" s="1400">
        <v>2023</v>
      </c>
      <c r="AI521" s="1400"/>
      <c r="AJ521" s="1400"/>
      <c r="AK521" s="1401"/>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50">
        <v>3</v>
      </c>
      <c r="AD522" s="1451"/>
      <c r="AE522" s="1451"/>
      <c r="AF522" s="1451"/>
      <c r="AG522" s="38" t="s">
        <v>404</v>
      </c>
      <c r="AH522" s="1400">
        <v>2024</v>
      </c>
      <c r="AI522" s="1400"/>
      <c r="AJ522" s="1400"/>
      <c r="AK522" s="1401"/>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2"/>
      <c r="C523" s="1423"/>
      <c r="D523" s="1423"/>
      <c r="E523" s="1423"/>
      <c r="F523" s="1423"/>
      <c r="G523" s="1423"/>
      <c r="H523" s="1424"/>
      <c r="I523" s="42" t="s">
        <v>424</v>
      </c>
      <c r="J523" s="42"/>
      <c r="K523" s="42"/>
      <c r="L523" s="42"/>
      <c r="M523" s="42"/>
      <c r="N523" s="42"/>
      <c r="O523" s="1433" t="s">
        <v>335</v>
      </c>
      <c r="P523" s="1434"/>
      <c r="Q523" s="1434"/>
      <c r="R523" s="1434"/>
      <c r="S523" s="1434"/>
      <c r="T523" s="1434"/>
      <c r="U523" s="1434"/>
      <c r="V523" s="1434"/>
      <c r="W523" s="1434"/>
      <c r="X523" s="1434"/>
      <c r="Y523" s="1434"/>
      <c r="Z523" s="1434"/>
      <c r="AA523" s="1434"/>
      <c r="AC523" s="1450" t="s">
        <v>600</v>
      </c>
      <c r="AD523" s="1451"/>
      <c r="AE523" s="1451"/>
      <c r="AF523" s="1451"/>
      <c r="AG523" s="13" t="s">
        <v>404</v>
      </c>
      <c r="AH523" s="1400"/>
      <c r="AI523" s="1400"/>
      <c r="AJ523" s="1400"/>
      <c r="AK523" s="1401"/>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2"/>
      <c r="C524" s="1423"/>
      <c r="D524" s="1423"/>
      <c r="E524" s="1423"/>
      <c r="F524" s="1423"/>
      <c r="G524" s="1423"/>
      <c r="H524" s="1424"/>
      <c r="I524" t="s">
        <v>422</v>
      </c>
      <c r="AC524" s="1450" t="s">
        <v>600</v>
      </c>
      <c r="AD524" s="1451"/>
      <c r="AE524" s="1451"/>
      <c r="AF524" s="1451"/>
      <c r="AG524" s="13" t="s">
        <v>404</v>
      </c>
      <c r="AH524" s="1400"/>
      <c r="AI524" s="1400"/>
      <c r="AJ524" s="1400"/>
      <c r="AK524" s="1401"/>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50" t="s">
        <v>600</v>
      </c>
      <c r="AD525" s="1451"/>
      <c r="AE525" s="1451"/>
      <c r="AF525" s="1451"/>
      <c r="AG525" s="38" t="s">
        <v>404</v>
      </c>
      <c r="AH525" s="1400"/>
      <c r="AI525" s="1400"/>
      <c r="AJ525" s="1400"/>
      <c r="AK525" s="1401"/>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2"/>
      <c r="C526" s="1423"/>
      <c r="D526" s="1423"/>
      <c r="E526" s="1423"/>
      <c r="F526" s="1423"/>
      <c r="G526" s="1423"/>
      <c r="H526" s="1424"/>
      <c r="I526" s="42" t="s">
        <v>424</v>
      </c>
      <c r="J526" s="42"/>
      <c r="K526" s="42"/>
      <c r="L526" s="42"/>
      <c r="M526" s="42"/>
      <c r="N526" s="42"/>
      <c r="O526" s="1433" t="s">
        <v>335</v>
      </c>
      <c r="P526" s="1434"/>
      <c r="Q526" s="1434"/>
      <c r="R526" s="1434"/>
      <c r="S526" s="1434"/>
      <c r="T526" s="1434"/>
      <c r="U526" s="1434"/>
      <c r="V526" s="1434"/>
      <c r="W526" s="1434"/>
      <c r="X526" s="1434"/>
      <c r="Y526" s="1434"/>
      <c r="Z526" s="1434"/>
      <c r="AA526" s="1434"/>
      <c r="AC526" s="1450" t="s">
        <v>600</v>
      </c>
      <c r="AD526" s="1451"/>
      <c r="AE526" s="1451"/>
      <c r="AF526" s="1451"/>
      <c r="AG526" s="13" t="s">
        <v>404</v>
      </c>
      <c r="AH526" s="1400"/>
      <c r="AI526" s="1400"/>
      <c r="AJ526" s="1400"/>
      <c r="AK526" s="1401"/>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2"/>
      <c r="C527" s="1423"/>
      <c r="D527" s="1423"/>
      <c r="E527" s="1423"/>
      <c r="F527" s="1423"/>
      <c r="G527" s="1423"/>
      <c r="H527" s="1424"/>
      <c r="I527" t="s">
        <v>422</v>
      </c>
      <c r="AC527" s="1450" t="s">
        <v>600</v>
      </c>
      <c r="AD527" s="1451"/>
      <c r="AE527" s="1451"/>
      <c r="AF527" s="1451"/>
      <c r="AG527" s="13" t="s">
        <v>404</v>
      </c>
      <c r="AH527" s="1400"/>
      <c r="AI527" s="1400"/>
      <c r="AJ527" s="1400"/>
      <c r="AK527" s="1401"/>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50" t="s">
        <v>600</v>
      </c>
      <c r="AD528" s="1451"/>
      <c r="AE528" s="1451"/>
      <c r="AF528" s="1451"/>
      <c r="AG528" s="38" t="s">
        <v>404</v>
      </c>
      <c r="AH528" s="1400"/>
      <c r="AI528" s="1400"/>
      <c r="AJ528" s="1400"/>
      <c r="AK528" s="1401"/>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2"/>
      <c r="C529" s="1423"/>
      <c r="D529" s="1423"/>
      <c r="E529" s="1423"/>
      <c r="F529" s="1423"/>
      <c r="G529" s="1423"/>
      <c r="H529" s="1424"/>
      <c r="I529" s="42" t="s">
        <v>424</v>
      </c>
      <c r="J529" s="42"/>
      <c r="K529" s="42"/>
      <c r="L529" s="42"/>
      <c r="M529" s="42"/>
      <c r="N529" s="42"/>
      <c r="O529" s="1433" t="s">
        <v>335</v>
      </c>
      <c r="P529" s="1434"/>
      <c r="Q529" s="1434"/>
      <c r="R529" s="1434"/>
      <c r="S529" s="1434"/>
      <c r="T529" s="1434"/>
      <c r="U529" s="1434"/>
      <c r="V529" s="1434"/>
      <c r="W529" s="1434"/>
      <c r="X529" s="1434"/>
      <c r="Y529" s="1434"/>
      <c r="Z529" s="1434"/>
      <c r="AA529" s="1434"/>
      <c r="AC529" s="1450" t="s">
        <v>600</v>
      </c>
      <c r="AD529" s="1451"/>
      <c r="AE529" s="1451"/>
      <c r="AF529" s="1451"/>
      <c r="AG529" s="13" t="s">
        <v>404</v>
      </c>
      <c r="AH529" s="1400"/>
      <c r="AI529" s="1400"/>
      <c r="AJ529" s="1400"/>
      <c r="AK529" s="1401"/>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2"/>
      <c r="C530" s="1423"/>
      <c r="D530" s="1423"/>
      <c r="E530" s="1423"/>
      <c r="F530" s="1423"/>
      <c r="G530" s="1423"/>
      <c r="H530" s="1424"/>
      <c r="I530" t="s">
        <v>422</v>
      </c>
      <c r="AC530" s="1450" t="s">
        <v>600</v>
      </c>
      <c r="AD530" s="1451"/>
      <c r="AE530" s="1451"/>
      <c r="AF530" s="1451"/>
      <c r="AG530" s="13" t="s">
        <v>404</v>
      </c>
      <c r="AH530" s="1400"/>
      <c r="AI530" s="1400"/>
      <c r="AJ530" s="1400"/>
      <c r="AK530" s="1401"/>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50" t="s">
        <v>600</v>
      </c>
      <c r="AD531" s="1451"/>
      <c r="AE531" s="1451"/>
      <c r="AF531" s="1451"/>
      <c r="AG531" s="38" t="s">
        <v>404</v>
      </c>
      <c r="AH531" s="1400"/>
      <c r="AI531" s="1400"/>
      <c r="AJ531" s="1400"/>
      <c r="AK531" s="1401"/>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2"/>
      <c r="C532" s="1423"/>
      <c r="D532" s="1423"/>
      <c r="E532" s="1423"/>
      <c r="F532" s="1423"/>
      <c r="G532" s="1423"/>
      <c r="H532" s="1424"/>
      <c r="I532" s="42" t="s">
        <v>424</v>
      </c>
      <c r="J532" s="42"/>
      <c r="K532" s="42"/>
      <c r="L532" s="42"/>
      <c r="M532" s="42"/>
      <c r="N532" s="42"/>
      <c r="O532" s="1433" t="s">
        <v>335</v>
      </c>
      <c r="P532" s="1434"/>
      <c r="Q532" s="1434"/>
      <c r="R532" s="1434"/>
      <c r="S532" s="1434"/>
      <c r="T532" s="1434"/>
      <c r="U532" s="1434"/>
      <c r="V532" s="1434"/>
      <c r="W532" s="1434"/>
      <c r="X532" s="1434"/>
      <c r="Y532" s="1434"/>
      <c r="Z532" s="1434"/>
      <c r="AA532" s="1434"/>
      <c r="AC532" s="1450" t="s">
        <v>600</v>
      </c>
      <c r="AD532" s="1451"/>
      <c r="AE532" s="1451"/>
      <c r="AF532" s="1451"/>
      <c r="AG532" s="13" t="s">
        <v>404</v>
      </c>
      <c r="AH532" s="1400"/>
      <c r="AI532" s="1400"/>
      <c r="AJ532" s="1400"/>
      <c r="AK532" s="1401"/>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2"/>
      <c r="C533" s="1423"/>
      <c r="D533" s="1423"/>
      <c r="E533" s="1423"/>
      <c r="F533" s="1423"/>
      <c r="G533" s="1423"/>
      <c r="H533" s="1424"/>
      <c r="I533" t="s">
        <v>422</v>
      </c>
      <c r="AC533" s="1450" t="s">
        <v>600</v>
      </c>
      <c r="AD533" s="1451"/>
      <c r="AE533" s="1451"/>
      <c r="AF533" s="1451"/>
      <c r="AG533" s="38" t="s">
        <v>404</v>
      </c>
      <c r="AH533" s="1400"/>
      <c r="AI533" s="1400"/>
      <c r="AJ533" s="1400"/>
      <c r="AK533" s="1401"/>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50" t="s">
        <v>600</v>
      </c>
      <c r="AD534" s="1451"/>
      <c r="AE534" s="1451"/>
      <c r="AF534" s="1451"/>
      <c r="AG534" s="13" t="s">
        <v>404</v>
      </c>
      <c r="AH534" s="1400"/>
      <c r="AI534" s="1400"/>
      <c r="AJ534" s="1400"/>
      <c r="AK534" s="1401"/>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2"/>
      <c r="C535" s="1423"/>
      <c r="D535" s="1423"/>
      <c r="E535" s="1423"/>
      <c r="F535" s="1423"/>
      <c r="G535" s="1423"/>
      <c r="H535" s="1424"/>
      <c r="I535" s="42" t="s">
        <v>424</v>
      </c>
      <c r="J535" s="42"/>
      <c r="K535" s="42"/>
      <c r="L535" s="42"/>
      <c r="M535" s="42"/>
      <c r="N535" s="42"/>
      <c r="O535" s="1433" t="s">
        <v>335</v>
      </c>
      <c r="P535" s="1434"/>
      <c r="Q535" s="1434"/>
      <c r="R535" s="1434"/>
      <c r="S535" s="1434"/>
      <c r="T535" s="1434"/>
      <c r="U535" s="1434"/>
      <c r="V535" s="1434"/>
      <c r="W535" s="1434"/>
      <c r="X535" s="1434"/>
      <c r="Y535" s="1434"/>
      <c r="Z535" s="1434"/>
      <c r="AA535" s="1434"/>
      <c r="AC535" s="1450" t="s">
        <v>600</v>
      </c>
      <c r="AD535" s="1451"/>
      <c r="AE535" s="1451"/>
      <c r="AF535" s="1451"/>
      <c r="AG535" s="38" t="s">
        <v>404</v>
      </c>
      <c r="AH535" s="1400"/>
      <c r="AI535" s="1400"/>
      <c r="AJ535" s="1400"/>
      <c r="AK535" s="1401"/>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2"/>
      <c r="C536" s="1423"/>
      <c r="D536" s="1423"/>
      <c r="E536" s="1423"/>
      <c r="F536" s="1423"/>
      <c r="G536" s="1423"/>
      <c r="H536" s="1424"/>
      <c r="I536" t="s">
        <v>422</v>
      </c>
      <c r="AC536" s="1450" t="s">
        <v>600</v>
      </c>
      <c r="AD536" s="1451"/>
      <c r="AE536" s="1451"/>
      <c r="AF536" s="1451"/>
      <c r="AG536" s="13" t="s">
        <v>404</v>
      </c>
      <c r="AH536" s="1400"/>
      <c r="AI536" s="1400"/>
      <c r="AJ536" s="1400"/>
      <c r="AK536" s="1401"/>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50" t="s">
        <v>600</v>
      </c>
      <c r="AD537" s="1451"/>
      <c r="AE537" s="1451"/>
      <c r="AF537" s="1451"/>
      <c r="AG537" s="38" t="s">
        <v>404</v>
      </c>
      <c r="AH537" s="1400"/>
      <c r="AI537" s="1400"/>
      <c r="AJ537" s="1400"/>
      <c r="AK537" s="1401"/>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2"/>
      <c r="C538" s="1423"/>
      <c r="D538" s="1423"/>
      <c r="E538" s="1423"/>
      <c r="F538" s="1423"/>
      <c r="G538" s="1423"/>
      <c r="H538" s="1424"/>
      <c r="I538" s="42" t="s">
        <v>571</v>
      </c>
      <c r="J538" s="42"/>
      <c r="K538" s="42"/>
      <c r="L538" s="42"/>
      <c r="M538" s="42"/>
      <c r="N538" s="42"/>
      <c r="O538" s="42"/>
      <c r="P538" s="42"/>
      <c r="Q538" s="42"/>
      <c r="R538" s="42"/>
      <c r="S538" s="42"/>
      <c r="T538" s="42"/>
      <c r="U538" s="42"/>
      <c r="V538" s="42"/>
      <c r="W538" s="42"/>
      <c r="AC538" s="1450">
        <v>12</v>
      </c>
      <c r="AD538" s="1451"/>
      <c r="AE538" s="1451"/>
      <c r="AF538" s="1451"/>
      <c r="AG538" s="38" t="s">
        <v>404</v>
      </c>
      <c r="AH538" s="1400">
        <v>2024</v>
      </c>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2"/>
      <c r="C539" s="1423"/>
      <c r="D539" s="1423"/>
      <c r="E539" s="1423"/>
      <c r="F539" s="1423"/>
      <c r="G539" s="1423"/>
      <c r="H539" s="1424"/>
      <c r="I539" t="s">
        <v>572</v>
      </c>
      <c r="AC539" s="1450">
        <v>11</v>
      </c>
      <c r="AD539" s="1451"/>
      <c r="AE539" s="1451"/>
      <c r="AF539" s="1451"/>
      <c r="AG539" s="13" t="s">
        <v>404</v>
      </c>
      <c r="AH539" s="1400">
        <v>2024</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t="s">
        <v>573</v>
      </c>
      <c r="AC540" s="1450">
        <v>11</v>
      </c>
      <c r="AD540" s="1451"/>
      <c r="AE540" s="1451"/>
      <c r="AF540" s="1451"/>
      <c r="AG540" s="38" t="s">
        <v>404</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2"/>
      <c r="C541" s="1423"/>
      <c r="D541" s="1423"/>
      <c r="E541" s="1423"/>
      <c r="F541" s="1423"/>
      <c r="G541" s="1423"/>
      <c r="H541" s="1424"/>
      <c r="I541" t="s">
        <v>574</v>
      </c>
      <c r="AC541" s="1450">
        <v>12</v>
      </c>
      <c r="AD541" s="1451"/>
      <c r="AE541" s="1451"/>
      <c r="AF541" s="1451"/>
      <c r="AG541" s="38" t="s">
        <v>404</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5"/>
      <c r="C542" s="1426"/>
      <c r="D542" s="1426"/>
      <c r="E542" s="1426"/>
      <c r="F542" s="1426"/>
      <c r="G542" s="1426"/>
      <c r="H542" s="1427"/>
      <c r="I542" s="48" t="s">
        <v>460</v>
      </c>
      <c r="J542" s="48"/>
      <c r="K542" s="48"/>
      <c r="L542" s="48"/>
      <c r="M542" s="48"/>
      <c r="N542" s="48"/>
      <c r="O542" s="48"/>
      <c r="P542" s="48"/>
      <c r="Q542" s="48"/>
      <c r="R542" s="48"/>
      <c r="S542" s="48"/>
      <c r="T542" s="48"/>
      <c r="U542" s="48"/>
      <c r="V542" s="48"/>
      <c r="W542" s="48"/>
      <c r="X542" s="48"/>
      <c r="Y542" s="48"/>
      <c r="Z542" s="48"/>
      <c r="AA542" s="48"/>
      <c r="AB542" s="48"/>
      <c r="AC542" s="1450">
        <v>5</v>
      </c>
      <c r="AD542" s="1451"/>
      <c r="AE542" s="1451"/>
      <c r="AF542" s="1451"/>
      <c r="AG542" s="38" t="s">
        <v>404</v>
      </c>
      <c r="AH542" s="1400">
        <v>2027</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9" t="s">
        <v>2423</v>
      </c>
      <c r="C551" s="1420"/>
      <c r="D551" s="1420"/>
      <c r="E551" s="1420"/>
      <c r="F551" s="1420"/>
      <c r="G551" s="1420"/>
      <c r="H551" s="1420"/>
      <c r="I551" s="1420"/>
      <c r="J551" s="1420"/>
      <c r="K551" s="1420"/>
      <c r="L551" s="1421"/>
      <c r="M551" s="1419" t="s">
        <v>2424</v>
      </c>
      <c r="N551" s="1420"/>
      <c r="O551" s="1420"/>
      <c r="P551" s="1421"/>
      <c r="Q551" s="1419" t="s">
        <v>2450</v>
      </c>
      <c r="R551" s="1420"/>
      <c r="S551" s="1421"/>
      <c r="T551" s="1419" t="s">
        <v>2451</v>
      </c>
      <c r="U551" s="1420"/>
      <c r="V551" s="1421"/>
      <c r="W551" s="1419" t="s">
        <v>462</v>
      </c>
      <c r="X551" s="1420"/>
      <c r="Y551" s="1421"/>
      <c r="Z551" s="1419" t="s">
        <v>2044</v>
      </c>
      <c r="AA551" s="1420"/>
      <c r="AB551" s="1420"/>
      <c r="AC551" s="1420"/>
      <c r="AD551" s="1421"/>
      <c r="AE551" s="1419" t="s">
        <v>1866</v>
      </c>
      <c r="AF551" s="1420"/>
      <c r="AG551" s="1420"/>
      <c r="AH551" s="1421"/>
      <c r="AI551" s="1419" t="s">
        <v>1867</v>
      </c>
      <c r="AJ551" s="1420"/>
      <c r="AK551" s="1420"/>
      <c r="AL551" s="1421"/>
      <c r="AM551" s="1419" t="s">
        <v>463</v>
      </c>
      <c r="AN551" s="1420"/>
      <c r="AO551" s="1420"/>
      <c r="AP551" s="1420"/>
      <c r="AQ551" s="1420"/>
      <c r="AR551" s="1420"/>
      <c r="AS551" s="142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9" t="s">
        <v>2735</v>
      </c>
      <c r="D554" s="1579"/>
      <c r="E554" s="1579"/>
      <c r="F554" s="1579"/>
      <c r="G554" s="1579"/>
      <c r="H554" s="1579"/>
      <c r="I554" s="1579"/>
      <c r="J554" s="1579"/>
      <c r="K554" s="1579"/>
      <c r="L554" s="1579"/>
      <c r="M554" s="1579" t="s">
        <v>2440</v>
      </c>
      <c r="N554" s="1579"/>
      <c r="O554" s="1579"/>
      <c r="P554" s="1579"/>
      <c r="Q554" s="1439">
        <v>33</v>
      </c>
      <c r="R554" s="1439"/>
      <c r="S554" s="1440"/>
      <c r="T554" s="1438"/>
      <c r="U554" s="1439"/>
      <c r="V554" s="1440"/>
      <c r="W554" s="1501">
        <v>8.3199999999999996E-2</v>
      </c>
      <c r="X554" s="1502"/>
      <c r="Y554" s="1503"/>
      <c r="Z554" s="1491" t="s">
        <v>2741</v>
      </c>
      <c r="AA554" s="1491"/>
      <c r="AB554" s="1491"/>
      <c r="AC554" s="1491"/>
      <c r="AD554" s="1491"/>
      <c r="AE554" s="1435">
        <v>1</v>
      </c>
      <c r="AF554" s="1436"/>
      <c r="AG554" s="1436"/>
      <c r="AH554" s="1437"/>
      <c r="AI554" s="1488"/>
      <c r="AJ554" s="1489"/>
      <c r="AK554" s="1489"/>
      <c r="AL554" s="1490"/>
      <c r="AM554" s="1442">
        <v>38323293</v>
      </c>
      <c r="AN554" s="1443"/>
      <c r="AO554" s="1443"/>
      <c r="AP554" s="1443"/>
      <c r="AQ554" s="1443"/>
      <c r="AR554" s="1443"/>
      <c r="AS554" s="144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4" t="s">
        <v>2736</v>
      </c>
      <c r="D555" s="1504"/>
      <c r="E555" s="1504"/>
      <c r="F555" s="1504"/>
      <c r="G555" s="1504"/>
      <c r="H555" s="1504"/>
      <c r="I555" s="1504"/>
      <c r="J555" s="1504"/>
      <c r="K555" s="1504"/>
      <c r="L555" s="1504"/>
      <c r="M555" s="1579" t="s">
        <v>2439</v>
      </c>
      <c r="N555" s="1579"/>
      <c r="O555" s="1579"/>
      <c r="P555" s="1579"/>
      <c r="Q555" s="1438">
        <v>33</v>
      </c>
      <c r="R555" s="1439"/>
      <c r="S555" s="1440"/>
      <c r="T555" s="1438"/>
      <c r="U555" s="1439"/>
      <c r="V555" s="1440"/>
      <c r="W555" s="1501">
        <v>8.3199999999999996E-2</v>
      </c>
      <c r="X555" s="1502"/>
      <c r="Y555" s="1503"/>
      <c r="Z555" s="1491" t="s">
        <v>2741</v>
      </c>
      <c r="AA555" s="1491"/>
      <c r="AB555" s="1491"/>
      <c r="AC555" s="1491"/>
      <c r="AD555" s="1491"/>
      <c r="AE555" s="1435">
        <v>1</v>
      </c>
      <c r="AF555" s="1436"/>
      <c r="AG555" s="1436"/>
      <c r="AH555" s="1437"/>
      <c r="AI555" s="1488"/>
      <c r="AJ555" s="1489"/>
      <c r="AK555" s="1489"/>
      <c r="AL555" s="1490"/>
      <c r="AM555" s="1442">
        <v>16303111</v>
      </c>
      <c r="AN555" s="1443"/>
      <c r="AO555" s="1443"/>
      <c r="AP555" s="1443"/>
      <c r="AQ555" s="1443"/>
      <c r="AR555" s="1443"/>
      <c r="AS555" s="144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4" t="s">
        <v>2739</v>
      </c>
      <c r="D556" s="1504"/>
      <c r="E556" s="1504"/>
      <c r="F556" s="1504"/>
      <c r="G556" s="1504"/>
      <c r="H556" s="1504"/>
      <c r="I556" s="1504"/>
      <c r="J556" s="1504"/>
      <c r="K556" s="1504"/>
      <c r="L556" s="1504"/>
      <c r="M556" s="1579" t="s">
        <v>2433</v>
      </c>
      <c r="N556" s="1579"/>
      <c r="O556" s="1579"/>
      <c r="P556" s="1579"/>
      <c r="Q556" s="1438"/>
      <c r="R556" s="1439"/>
      <c r="S556" s="1440"/>
      <c r="T556" s="1438"/>
      <c r="U556" s="1439"/>
      <c r="V556" s="1440"/>
      <c r="W556" s="1501"/>
      <c r="X556" s="1502"/>
      <c r="Y556" s="1503"/>
      <c r="Z556" s="1491" t="s">
        <v>1291</v>
      </c>
      <c r="AA556" s="1491"/>
      <c r="AB556" s="1491"/>
      <c r="AC556" s="1491"/>
      <c r="AD556" s="1491"/>
      <c r="AE556" s="1435"/>
      <c r="AF556" s="1436"/>
      <c r="AG556" s="1436"/>
      <c r="AH556" s="1437"/>
      <c r="AI556" s="1488"/>
      <c r="AJ556" s="1489"/>
      <c r="AK556" s="1489"/>
      <c r="AL556" s="1490"/>
      <c r="AM556" s="1442">
        <v>5469400</v>
      </c>
      <c r="AN556" s="1443"/>
      <c r="AO556" s="1443"/>
      <c r="AP556" s="1443"/>
      <c r="AQ556" s="1443"/>
      <c r="AR556" s="1443"/>
      <c r="AS556" s="144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4" t="s">
        <v>2737</v>
      </c>
      <c r="D557" s="1504"/>
      <c r="E557" s="1504"/>
      <c r="F557" s="1504"/>
      <c r="G557" s="1504"/>
      <c r="H557" s="1504"/>
      <c r="I557" s="1504"/>
      <c r="J557" s="1504"/>
      <c r="K557" s="1504"/>
      <c r="L557" s="1504"/>
      <c r="M557" s="1579" t="s">
        <v>2427</v>
      </c>
      <c r="N557" s="1579"/>
      <c r="O557" s="1579"/>
      <c r="P557" s="1579"/>
      <c r="Q557" s="1438"/>
      <c r="R557" s="1439"/>
      <c r="S557" s="1440"/>
      <c r="T557" s="1438"/>
      <c r="U557" s="1439"/>
      <c r="V557" s="1440"/>
      <c r="W557" s="1501"/>
      <c r="X557" s="1502"/>
      <c r="Y557" s="1503"/>
      <c r="Z557" s="1491" t="s">
        <v>1291</v>
      </c>
      <c r="AA557" s="1491"/>
      <c r="AB557" s="1491"/>
      <c r="AC557" s="1491"/>
      <c r="AD557" s="1491"/>
      <c r="AE557" s="1435"/>
      <c r="AF557" s="1436"/>
      <c r="AG557" s="1436"/>
      <c r="AH557" s="1437"/>
      <c r="AI557" s="1488"/>
      <c r="AJ557" s="1489"/>
      <c r="AK557" s="1489"/>
      <c r="AL557" s="1490"/>
      <c r="AM557" s="1442">
        <v>5174961</v>
      </c>
      <c r="AN557" s="1443"/>
      <c r="AO557" s="1443"/>
      <c r="AP557" s="1443"/>
      <c r="AQ557" s="1443"/>
      <c r="AR557" s="1443"/>
      <c r="AS557" s="144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4" t="s">
        <v>2738</v>
      </c>
      <c r="D558" s="1504"/>
      <c r="E558" s="1504"/>
      <c r="F558" s="1504"/>
      <c r="G558" s="1504"/>
      <c r="H558" s="1504"/>
      <c r="I558" s="1504"/>
      <c r="J558" s="1504"/>
      <c r="K558" s="1504"/>
      <c r="L558" s="1504"/>
      <c r="M558" s="1579" t="s">
        <v>2426</v>
      </c>
      <c r="N558" s="1579"/>
      <c r="O558" s="1579"/>
      <c r="P558" s="1579"/>
      <c r="Q558" s="1438"/>
      <c r="R558" s="1439"/>
      <c r="S558" s="1440"/>
      <c r="T558" s="1438"/>
      <c r="U558" s="1439"/>
      <c r="V558" s="1440"/>
      <c r="W558" s="1501"/>
      <c r="X558" s="1502"/>
      <c r="Y558" s="1503"/>
      <c r="Z558" s="1491" t="s">
        <v>1291</v>
      </c>
      <c r="AA558" s="1491"/>
      <c r="AB558" s="1491"/>
      <c r="AC558" s="1491"/>
      <c r="AD558" s="1491"/>
      <c r="AE558" s="1435"/>
      <c r="AF558" s="1436"/>
      <c r="AG558" s="1436"/>
      <c r="AH558" s="1437"/>
      <c r="AI558" s="1488"/>
      <c r="AJ558" s="1489"/>
      <c r="AK558" s="1489"/>
      <c r="AL558" s="1490"/>
      <c r="AM558" s="1442">
        <v>3147822</v>
      </c>
      <c r="AN558" s="1443"/>
      <c r="AO558" s="1443"/>
      <c r="AP558" s="1443"/>
      <c r="AQ558" s="1443"/>
      <c r="AR558" s="1443"/>
      <c r="AS558" s="1444"/>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4" t="s">
        <v>2740</v>
      </c>
      <c r="D559" s="1504"/>
      <c r="E559" s="1504"/>
      <c r="F559" s="1504"/>
      <c r="G559" s="1504"/>
      <c r="H559" s="1504"/>
      <c r="I559" s="1504"/>
      <c r="J559" s="1504"/>
      <c r="K559" s="1504"/>
      <c r="L559" s="1504"/>
      <c r="M559" s="1579" t="s">
        <v>2431</v>
      </c>
      <c r="N559" s="1579"/>
      <c r="O559" s="1579"/>
      <c r="P559" s="1579"/>
      <c r="Q559" s="1438"/>
      <c r="R559" s="1439"/>
      <c r="S559" s="1440"/>
      <c r="T559" s="1438"/>
      <c r="U559" s="1439"/>
      <c r="V559" s="1440"/>
      <c r="W559" s="1501"/>
      <c r="X559" s="1502"/>
      <c r="Y559" s="1503"/>
      <c r="Z559" s="1491" t="s">
        <v>1291</v>
      </c>
      <c r="AA559" s="1491"/>
      <c r="AB559" s="1491"/>
      <c r="AC559" s="1491"/>
      <c r="AD559" s="1491"/>
      <c r="AE559" s="1435"/>
      <c r="AF559" s="1436"/>
      <c r="AG559" s="1436"/>
      <c r="AH559" s="1437"/>
      <c r="AI559" s="1488"/>
      <c r="AJ559" s="1489"/>
      <c r="AK559" s="1489"/>
      <c r="AL559" s="1490"/>
      <c r="AM559" s="1442">
        <v>6145907</v>
      </c>
      <c r="AN559" s="1443"/>
      <c r="AO559" s="1443"/>
      <c r="AP559" s="1443"/>
      <c r="AQ559" s="1443"/>
      <c r="AR559" s="1443"/>
      <c r="AS559" s="1444"/>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4"/>
      <c r="D560" s="1504"/>
      <c r="E560" s="1504"/>
      <c r="F560" s="1504"/>
      <c r="G560" s="1504"/>
      <c r="H560" s="1504"/>
      <c r="I560" s="1504"/>
      <c r="J560" s="1504"/>
      <c r="K560" s="1504"/>
      <c r="L560" s="1504"/>
      <c r="M560" s="1579" t="s">
        <v>1291</v>
      </c>
      <c r="N560" s="1579"/>
      <c r="O560" s="1579"/>
      <c r="P560" s="1579"/>
      <c r="Q560" s="1438"/>
      <c r="R560" s="1439"/>
      <c r="S560" s="1440"/>
      <c r="T560" s="1438"/>
      <c r="U560" s="1439"/>
      <c r="V560" s="1440"/>
      <c r="W560" s="1501"/>
      <c r="X560" s="1502"/>
      <c r="Y560" s="1503"/>
      <c r="Z560" s="1491" t="s">
        <v>1291</v>
      </c>
      <c r="AA560" s="1491"/>
      <c r="AB560" s="1491"/>
      <c r="AC560" s="1491"/>
      <c r="AD560" s="1491"/>
      <c r="AE560" s="1435"/>
      <c r="AF560" s="1436"/>
      <c r="AG560" s="1436"/>
      <c r="AH560" s="1437"/>
      <c r="AI560" s="1488"/>
      <c r="AJ560" s="1489"/>
      <c r="AK560" s="1489"/>
      <c r="AL560" s="1490"/>
      <c r="AM560" s="1442"/>
      <c r="AN560" s="1443"/>
      <c r="AO560" s="1443"/>
      <c r="AP560" s="1443"/>
      <c r="AQ560" s="1443"/>
      <c r="AR560" s="1443"/>
      <c r="AS560" s="144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4"/>
      <c r="D561" s="1504"/>
      <c r="E561" s="1504"/>
      <c r="F561" s="1504"/>
      <c r="G561" s="1504"/>
      <c r="H561" s="1504"/>
      <c r="I561" s="1504"/>
      <c r="J561" s="1504"/>
      <c r="K561" s="1504"/>
      <c r="L561" s="1504"/>
      <c r="M561" s="1579" t="s">
        <v>1291</v>
      </c>
      <c r="N561" s="1579"/>
      <c r="O561" s="1579"/>
      <c r="P561" s="1579"/>
      <c r="Q561" s="1438"/>
      <c r="R561" s="1439"/>
      <c r="S561" s="1440"/>
      <c r="T561" s="1438"/>
      <c r="U561" s="1439"/>
      <c r="V561" s="1440"/>
      <c r="W561" s="1501"/>
      <c r="X561" s="1502"/>
      <c r="Y561" s="1503"/>
      <c r="Z561" s="1491" t="s">
        <v>1291</v>
      </c>
      <c r="AA561" s="1491"/>
      <c r="AB561" s="1491"/>
      <c r="AC561" s="1491"/>
      <c r="AD561" s="1491"/>
      <c r="AE561" s="1435"/>
      <c r="AF561" s="1436"/>
      <c r="AG561" s="1436"/>
      <c r="AH561" s="1437"/>
      <c r="AI561" s="1488"/>
      <c r="AJ561" s="1489"/>
      <c r="AK561" s="1489"/>
      <c r="AL561" s="1490"/>
      <c r="AM561" s="1442"/>
      <c r="AN561" s="1443"/>
      <c r="AO561" s="1443"/>
      <c r="AP561" s="1443"/>
      <c r="AQ561" s="1443"/>
      <c r="AR561" s="1443"/>
      <c r="AS561" s="144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4"/>
      <c r="D562" s="1504"/>
      <c r="E562" s="1504"/>
      <c r="F562" s="1504"/>
      <c r="G562" s="1504"/>
      <c r="H562" s="1504"/>
      <c r="I562" s="1504"/>
      <c r="J562" s="1504"/>
      <c r="K562" s="1504"/>
      <c r="L562" s="1504"/>
      <c r="M562" s="1579" t="s">
        <v>1291</v>
      </c>
      <c r="N562" s="1579"/>
      <c r="O562" s="1579"/>
      <c r="P562" s="1579"/>
      <c r="Q562" s="1438"/>
      <c r="R562" s="1439"/>
      <c r="S562" s="1440"/>
      <c r="T562" s="1438"/>
      <c r="U562" s="1439"/>
      <c r="V562" s="1440"/>
      <c r="W562" s="1501"/>
      <c r="X562" s="1502"/>
      <c r="Y562" s="1503"/>
      <c r="Z562" s="1491" t="s">
        <v>1291</v>
      </c>
      <c r="AA562" s="1491"/>
      <c r="AB562" s="1491"/>
      <c r="AC562" s="1491"/>
      <c r="AD562" s="1491"/>
      <c r="AE562" s="1435"/>
      <c r="AF562" s="1436"/>
      <c r="AG562" s="1436"/>
      <c r="AH562" s="1437"/>
      <c r="AI562" s="1488"/>
      <c r="AJ562" s="1489"/>
      <c r="AK562" s="1489"/>
      <c r="AL562" s="1490"/>
      <c r="AM562" s="1442"/>
      <c r="AN562" s="1443"/>
      <c r="AO562" s="1443"/>
      <c r="AP562" s="1443"/>
      <c r="AQ562" s="1443"/>
      <c r="AR562" s="1443"/>
      <c r="AS562" s="144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4"/>
      <c r="D563" s="1504"/>
      <c r="E563" s="1504"/>
      <c r="F563" s="1504"/>
      <c r="G563" s="1504"/>
      <c r="H563" s="1504"/>
      <c r="I563" s="1504"/>
      <c r="J563" s="1504"/>
      <c r="K563" s="1504"/>
      <c r="L563" s="1504"/>
      <c r="M563" s="1579" t="s">
        <v>1291</v>
      </c>
      <c r="N563" s="1579"/>
      <c r="O563" s="1579"/>
      <c r="P563" s="1579"/>
      <c r="Q563" s="1438"/>
      <c r="R563" s="1439"/>
      <c r="S563" s="1440"/>
      <c r="T563" s="1438"/>
      <c r="U563" s="1439"/>
      <c r="V563" s="1440"/>
      <c r="W563" s="1501"/>
      <c r="X563" s="1502"/>
      <c r="Y563" s="1503"/>
      <c r="Z563" s="1491" t="s">
        <v>1291</v>
      </c>
      <c r="AA563" s="1491"/>
      <c r="AB563" s="1491"/>
      <c r="AC563" s="1491"/>
      <c r="AD563" s="1491"/>
      <c r="AE563" s="1435"/>
      <c r="AF563" s="1436"/>
      <c r="AG563" s="1436"/>
      <c r="AH563" s="1437"/>
      <c r="AI563" s="1488"/>
      <c r="AJ563" s="1489"/>
      <c r="AK563" s="1489"/>
      <c r="AL563" s="1490"/>
      <c r="AM563" s="1442"/>
      <c r="AN563" s="1443"/>
      <c r="AO563" s="1443"/>
      <c r="AP563" s="1443"/>
      <c r="AQ563" s="1443"/>
      <c r="AR563" s="1443"/>
      <c r="AS563" s="144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4"/>
      <c r="D564" s="1504"/>
      <c r="E564" s="1504"/>
      <c r="F564" s="1504"/>
      <c r="G564" s="1504"/>
      <c r="H564" s="1504"/>
      <c r="I564" s="1504"/>
      <c r="J564" s="1504"/>
      <c r="K564" s="1504"/>
      <c r="L564" s="1504"/>
      <c r="M564" s="1579" t="s">
        <v>1291</v>
      </c>
      <c r="N564" s="1579"/>
      <c r="O564" s="1579"/>
      <c r="P564" s="1579"/>
      <c r="Q564" s="1438"/>
      <c r="R564" s="1439"/>
      <c r="S564" s="1440"/>
      <c r="T564" s="1438"/>
      <c r="U564" s="1439"/>
      <c r="V564" s="1440"/>
      <c r="W564" s="1501"/>
      <c r="X564" s="1502"/>
      <c r="Y564" s="1503"/>
      <c r="Z564" s="1491" t="s">
        <v>1291</v>
      </c>
      <c r="AA564" s="1491"/>
      <c r="AB564" s="1491"/>
      <c r="AC564" s="1491"/>
      <c r="AD564" s="1491"/>
      <c r="AE564" s="1435"/>
      <c r="AF564" s="1436"/>
      <c r="AG564" s="1436"/>
      <c r="AH564" s="1437"/>
      <c r="AI564" s="1488"/>
      <c r="AJ564" s="1489"/>
      <c r="AK564" s="1489"/>
      <c r="AL564" s="1490"/>
      <c r="AM564" s="1442"/>
      <c r="AN564" s="1443"/>
      <c r="AO564" s="1443"/>
      <c r="AP564" s="1443"/>
      <c r="AQ564" s="1443"/>
      <c r="AR564" s="1443"/>
      <c r="AS564" s="144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4"/>
      <c r="D565" s="1504"/>
      <c r="E565" s="1504"/>
      <c r="F565" s="1504"/>
      <c r="G565" s="1504"/>
      <c r="H565" s="1504"/>
      <c r="I565" s="1504"/>
      <c r="J565" s="1504"/>
      <c r="K565" s="1504"/>
      <c r="L565" s="1504"/>
      <c r="M565" s="1579" t="s">
        <v>1291</v>
      </c>
      <c r="N565" s="1579"/>
      <c r="O565" s="1579"/>
      <c r="P565" s="1579"/>
      <c r="Q565" s="1438"/>
      <c r="R565" s="1439"/>
      <c r="S565" s="1440"/>
      <c r="T565" s="1438"/>
      <c r="U565" s="1439"/>
      <c r="V565" s="1440"/>
      <c r="W565" s="1501"/>
      <c r="X565" s="1502"/>
      <c r="Y565" s="1503"/>
      <c r="Z565" s="1491" t="s">
        <v>1291</v>
      </c>
      <c r="AA565" s="1491"/>
      <c r="AB565" s="1491"/>
      <c r="AC565" s="1491"/>
      <c r="AD565" s="1491"/>
      <c r="AE565" s="1435"/>
      <c r="AF565" s="1436"/>
      <c r="AG565" s="1436"/>
      <c r="AH565" s="1437"/>
      <c r="AI565" s="1488"/>
      <c r="AJ565" s="1489"/>
      <c r="AK565" s="1489"/>
      <c r="AL565" s="1490"/>
      <c r="AM565" s="1442"/>
      <c r="AN565" s="1443"/>
      <c r="AO565" s="1443"/>
      <c r="AP565" s="1443"/>
      <c r="AQ565" s="1443"/>
      <c r="AR565" s="1443"/>
      <c r="AS565" s="144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592"/>
      <c r="V566" s="1611"/>
      <c r="W566" s="1611"/>
      <c r="X566" s="1611"/>
      <c r="Y566" s="1611"/>
      <c r="Z566" s="1611"/>
      <c r="AA566" s="1611"/>
      <c r="AB566" s="1611"/>
      <c r="AC566" s="1611"/>
      <c r="AD566" s="1611"/>
      <c r="AE566" s="1611"/>
      <c r="AF566" s="1611"/>
      <c r="AG566" s="1611"/>
      <c r="AH566" s="1611"/>
      <c r="AI566" s="1611"/>
      <c r="AJ566" s="1611"/>
      <c r="AK566" s="1611"/>
      <c r="AL566" s="1612"/>
      <c r="AM566" s="1635">
        <f>SUM(AM554:AS565)</f>
        <v>74564494</v>
      </c>
      <c r="AN566" s="1628"/>
      <c r="AO566" s="1628"/>
      <c r="AP566" s="1628"/>
      <c r="AQ566" s="1628"/>
      <c r="AR566" s="1628"/>
      <c r="AS566" s="162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7" t="str">
        <f>C554</f>
        <v xml:space="preserve">Citi - Tax Exempt Bonds </v>
      </c>
      <c r="H568" s="1507"/>
      <c r="I568" s="1507"/>
      <c r="J568" s="1507"/>
      <c r="K568" s="1507"/>
      <c r="L568" s="1507"/>
      <c r="M568" s="1507"/>
      <c r="N568" s="1507"/>
      <c r="O568" s="1507"/>
      <c r="P568" s="1507"/>
      <c r="Q568" s="1507"/>
      <c r="R568" s="1507"/>
      <c r="S568" s="8"/>
      <c r="T568" s="55" t="s">
        <v>113</v>
      </c>
      <c r="U568" t="s">
        <v>472</v>
      </c>
      <c r="Z568" s="1507" t="str">
        <f>C555</f>
        <v xml:space="preserve">Citi - Taxable Tail </v>
      </c>
      <c r="AA568" s="1507"/>
      <c r="AB568" s="1507"/>
      <c r="AC568" s="1507"/>
      <c r="AD568" s="1507"/>
      <c r="AE568" s="1507"/>
      <c r="AF568" s="1507"/>
      <c r="AG568" s="1507"/>
      <c r="AH568" s="1507"/>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2742</v>
      </c>
      <c r="H569" s="1384"/>
      <c r="I569" s="1384"/>
      <c r="J569" s="1384"/>
      <c r="K569" s="1384"/>
      <c r="L569" s="1384"/>
      <c r="M569" s="1384"/>
      <c r="N569" s="1384"/>
      <c r="O569" s="1384"/>
      <c r="P569" s="1384"/>
      <c r="Q569" s="1384"/>
      <c r="R569" s="1384"/>
      <c r="S569" s="8"/>
      <c r="T569" s="22"/>
      <c r="U569" t="s">
        <v>85</v>
      </c>
      <c r="Z569" s="1384" t="s">
        <v>2742</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2743</v>
      </c>
      <c r="H570" s="1384"/>
      <c r="I570" s="1384"/>
      <c r="J570" s="1384"/>
      <c r="K570" s="1384"/>
      <c r="L570" s="1384"/>
      <c r="M570" s="1384"/>
      <c r="N570" s="1384"/>
      <c r="O570" s="1384"/>
      <c r="P570" s="1384"/>
      <c r="Q570" s="1384"/>
      <c r="R570" s="1384"/>
      <c r="T570" s="22"/>
      <c r="U570" t="s">
        <v>589</v>
      </c>
      <c r="Z570" s="1454" t="s">
        <v>2743</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2744</v>
      </c>
      <c r="H571" s="1384"/>
      <c r="I571" s="1384"/>
      <c r="J571" s="1384"/>
      <c r="K571" s="1384"/>
      <c r="L571" s="1384"/>
      <c r="M571" s="1384"/>
      <c r="N571" s="1384"/>
      <c r="O571" s="1384"/>
      <c r="P571" s="1384"/>
      <c r="Q571" s="1384"/>
      <c r="R571" s="1384"/>
      <c r="S571" s="8"/>
      <c r="T571" s="22"/>
      <c r="U571" t="s">
        <v>17</v>
      </c>
      <c r="Z571" s="1454" t="s">
        <v>2744</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2745</v>
      </c>
      <c r="H572" s="1386"/>
      <c r="I572" s="1386"/>
      <c r="J572" s="1386"/>
      <c r="K572" s="1386"/>
      <c r="L572" s="1386"/>
      <c r="O572" s="33" t="s">
        <v>207</v>
      </c>
      <c r="P572" s="1385"/>
      <c r="Q572" s="1385"/>
      <c r="R572" s="1385"/>
      <c r="S572" s="10"/>
      <c r="T572" s="22"/>
      <c r="U572" t="s">
        <v>317</v>
      </c>
      <c r="Z572" s="1386" t="s">
        <v>2745</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2746</v>
      </c>
      <c r="I573" s="1384"/>
      <c r="J573" s="1384"/>
      <c r="K573" s="1384"/>
      <c r="L573" s="1384"/>
      <c r="M573" s="1384"/>
      <c r="N573" s="1384"/>
      <c r="O573" s="1384"/>
      <c r="P573" s="1384"/>
      <c r="Q573" s="1384"/>
      <c r="R573" s="1384"/>
      <c r="S573" s="8"/>
      <c r="T573" s="22"/>
      <c r="U573" t="s">
        <v>18</v>
      </c>
      <c r="AA573" s="1384" t="s">
        <v>2747</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6" t="s">
        <v>2748</v>
      </c>
      <c r="N574" s="1577"/>
      <c r="O574" s="1577"/>
      <c r="P574" s="1577"/>
      <c r="Q574" s="1577"/>
      <c r="R574" s="1577"/>
      <c r="S574" s="8"/>
      <c r="T574" s="22"/>
      <c r="U574" s="348" t="s">
        <v>1292</v>
      </c>
      <c r="AA574" s="8"/>
      <c r="AB574" s="8"/>
      <c r="AC574" s="8"/>
      <c r="AD574" s="8"/>
      <c r="AE574" s="8"/>
      <c r="AF574" s="1576" t="s">
        <v>2748</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7" t="str">
        <f>C556</f>
        <v>HCD - Infill Infrastructure Grant Program</v>
      </c>
      <c r="H577" s="1507"/>
      <c r="I577" s="1507"/>
      <c r="J577" s="1507"/>
      <c r="K577" s="1507"/>
      <c r="L577" s="1507"/>
      <c r="M577" s="1507"/>
      <c r="N577" s="1507"/>
      <c r="O577" s="1507"/>
      <c r="P577" s="1507"/>
      <c r="Q577" s="1507"/>
      <c r="R577" s="1507"/>
      <c r="T577" s="55" t="s">
        <v>590</v>
      </c>
      <c r="U577" t="s">
        <v>472</v>
      </c>
      <c r="Z577" s="1507" t="str">
        <f>C557</f>
        <v xml:space="preserve">Deferred Developer Fees </v>
      </c>
      <c r="AA577" s="1507"/>
      <c r="AB577" s="1507"/>
      <c r="AC577" s="1507"/>
      <c r="AD577" s="1507"/>
      <c r="AE577" s="1507"/>
      <c r="AF577" s="1507"/>
      <c r="AG577" s="1507"/>
      <c r="AH577" s="1507"/>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2749</v>
      </c>
      <c r="H578" s="1384"/>
      <c r="I578" s="1384"/>
      <c r="J578" s="1384"/>
      <c r="K578" s="1384"/>
      <c r="L578" s="1384"/>
      <c r="M578" s="1384"/>
      <c r="N578" s="1384"/>
      <c r="O578" s="1384"/>
      <c r="P578" s="1384"/>
      <c r="Q578" s="1384"/>
      <c r="R578" s="1384"/>
      <c r="T578" s="22"/>
      <c r="U578" t="s">
        <v>85</v>
      </c>
      <c r="Z578" s="1384" t="s">
        <v>2752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4" t="s">
        <v>2750</v>
      </c>
      <c r="H579" s="1454"/>
      <c r="I579" s="1454"/>
      <c r="J579" s="1454"/>
      <c r="K579" s="1454"/>
      <c r="L579" s="1454"/>
      <c r="M579" s="1454"/>
      <c r="N579" s="1454"/>
      <c r="O579" s="1454"/>
      <c r="P579" s="1454"/>
      <c r="Q579" s="1454"/>
      <c r="R579" s="1454"/>
      <c r="T579" s="22"/>
      <c r="U579" t="s">
        <v>589</v>
      </c>
      <c r="Z579" s="1454" t="s">
        <v>2753</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4" t="s">
        <v>2751</v>
      </c>
      <c r="H580" s="1454"/>
      <c r="I580" s="1454"/>
      <c r="J580" s="1454"/>
      <c r="K580" s="1454"/>
      <c r="L580" s="1454"/>
      <c r="M580" s="1454"/>
      <c r="N580" s="1454"/>
      <c r="O580" s="1454"/>
      <c r="P580" s="1454"/>
      <c r="Q580" s="1454"/>
      <c r="R580" s="1454"/>
      <c r="T580" s="22"/>
      <c r="U580" t="s">
        <v>17</v>
      </c>
      <c r="Z580" s="1454" t="s">
        <v>2661</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2755</v>
      </c>
      <c r="H581" s="1386"/>
      <c r="I581" s="1386"/>
      <c r="J581" s="1386"/>
      <c r="K581" s="1386"/>
      <c r="L581" s="1386"/>
      <c r="O581" s="33" t="s">
        <v>207</v>
      </c>
      <c r="P581" s="1385"/>
      <c r="Q581" s="1385"/>
      <c r="R581" s="1385"/>
      <c r="T581" s="22"/>
      <c r="U581" t="s">
        <v>317</v>
      </c>
      <c r="Z581" s="1556" t="s">
        <v>2654</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24" t="s">
        <v>2433</v>
      </c>
      <c r="I582" s="1384"/>
      <c r="J582" s="1384"/>
      <c r="K582" s="1384"/>
      <c r="L582" s="1384"/>
      <c r="M582" s="1384"/>
      <c r="N582" s="1384"/>
      <c r="O582" s="1384"/>
      <c r="P582" s="1384"/>
      <c r="Q582" s="1384"/>
      <c r="R582" s="1384"/>
      <c r="T582" s="22"/>
      <c r="U582" t="s">
        <v>18</v>
      </c>
      <c r="AA582" s="1384" t="s">
        <v>2756</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7" t="str">
        <f>C558</f>
        <v xml:space="preserve">Other Deferred Costs </v>
      </c>
      <c r="H585" s="1507"/>
      <c r="I585" s="1507"/>
      <c r="J585" s="1507"/>
      <c r="K585" s="1507"/>
      <c r="L585" s="1507"/>
      <c r="M585" s="1507"/>
      <c r="N585" s="1507"/>
      <c r="O585" s="1507"/>
      <c r="P585" s="1507"/>
      <c r="Q585" s="1507"/>
      <c r="R585" s="1507"/>
      <c r="T585" s="55" t="s">
        <v>593</v>
      </c>
      <c r="U585" t="s">
        <v>472</v>
      </c>
      <c r="Z585" s="1507" t="str">
        <f>C559</f>
        <v xml:space="preserve">R4 -Tax Credit Equity  </v>
      </c>
      <c r="AA585" s="1507"/>
      <c r="AB585" s="1507"/>
      <c r="AC585" s="1507"/>
      <c r="AD585" s="1507"/>
      <c r="AE585" s="1507"/>
      <c r="AF585" s="1507"/>
      <c r="AG585" s="1507"/>
      <c r="AH585" s="1507"/>
      <c r="AI585" s="1507"/>
      <c r="AJ585" s="1507"/>
      <c r="AK585" s="15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2752</v>
      </c>
      <c r="H586" s="1384"/>
      <c r="I586" s="1384"/>
      <c r="J586" s="1384"/>
      <c r="K586" s="1384"/>
      <c r="L586" s="1384"/>
      <c r="M586" s="1384"/>
      <c r="N586" s="1384"/>
      <c r="O586" s="1384"/>
      <c r="P586" s="1384"/>
      <c r="Q586" s="1384"/>
      <c r="R586" s="1384"/>
      <c r="T586" s="22"/>
      <c r="U586" t="s">
        <v>85</v>
      </c>
      <c r="Z586" s="1384" t="s">
        <v>2693</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2753</v>
      </c>
      <c r="H587" s="1384"/>
      <c r="I587" s="1384"/>
      <c r="J587" s="1384"/>
      <c r="K587" s="1384"/>
      <c r="L587" s="1384"/>
      <c r="M587" s="1384"/>
      <c r="N587" s="1384"/>
      <c r="O587" s="1384"/>
      <c r="P587" s="1384"/>
      <c r="Q587" s="1384"/>
      <c r="R587" s="1384"/>
      <c r="T587" s="22"/>
      <c r="U587" t="s">
        <v>589</v>
      </c>
      <c r="Z587" s="1454" t="s">
        <v>2754</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2661</v>
      </c>
      <c r="H588" s="1384"/>
      <c r="I588" s="1384"/>
      <c r="J588" s="1384"/>
      <c r="K588" s="1384"/>
      <c r="L588" s="1384"/>
      <c r="M588" s="1384"/>
      <c r="N588" s="1384"/>
      <c r="O588" s="1384"/>
      <c r="P588" s="1384"/>
      <c r="Q588" s="1384"/>
      <c r="R588" s="1384"/>
      <c r="T588" s="22"/>
      <c r="U588" t="s">
        <v>17</v>
      </c>
      <c r="Z588" s="1454" t="s">
        <v>2695</v>
      </c>
      <c r="AA588" s="1454"/>
      <c r="AB588" s="1454"/>
      <c r="AC588" s="1454"/>
      <c r="AD588" s="1454"/>
      <c r="AE588" s="1454"/>
      <c r="AF588" s="1454"/>
      <c r="AG588" s="1454"/>
      <c r="AH588" s="1454"/>
      <c r="AI588" s="1454"/>
      <c r="AJ588" s="1454"/>
      <c r="AK588" s="1454"/>
    </row>
    <row r="589" spans="1:110" ht="12.95" customHeight="1">
      <c r="A589" s="22"/>
      <c r="B589" t="s">
        <v>317</v>
      </c>
      <c r="G589" s="1556" t="s">
        <v>2654</v>
      </c>
      <c r="H589" s="1386"/>
      <c r="I589" s="1386"/>
      <c r="J589" s="1386"/>
      <c r="K589" s="1386"/>
      <c r="L589" s="1386"/>
      <c r="O589" s="33" t="s">
        <v>207</v>
      </c>
      <c r="P589" s="1385"/>
      <c r="Q589" s="1385"/>
      <c r="R589" s="1385"/>
      <c r="T589" s="22"/>
      <c r="U589" t="s">
        <v>317</v>
      </c>
      <c r="Z589" s="1386" t="s">
        <v>2697</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2757</v>
      </c>
      <c r="I590" s="1384"/>
      <c r="J590" s="1384"/>
      <c r="K590" s="1384"/>
      <c r="L590" s="1384"/>
      <c r="M590" s="1384"/>
      <c r="N590" s="1384"/>
      <c r="O590" s="1384"/>
      <c r="P590" s="1384"/>
      <c r="Q590" s="1384"/>
      <c r="R590" s="1384"/>
      <c r="T590" s="22"/>
      <c r="U590" t="s">
        <v>18</v>
      </c>
      <c r="AA590" s="1384" t="s">
        <v>2758</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7">
        <f>C560</f>
        <v>0</v>
      </c>
      <c r="H593" s="1507"/>
      <c r="I593" s="1507"/>
      <c r="J593" s="1507"/>
      <c r="K593" s="1507"/>
      <c r="L593" s="1507"/>
      <c r="M593" s="1507"/>
      <c r="N593" s="1507"/>
      <c r="O593" s="1507"/>
      <c r="P593" s="1507"/>
      <c r="Q593" s="1507"/>
      <c r="R593" s="1507"/>
      <c r="T593" s="55" t="s">
        <v>465</v>
      </c>
      <c r="U593" t="s">
        <v>472</v>
      </c>
      <c r="Z593" s="1507">
        <f>C561</f>
        <v>0</v>
      </c>
      <c r="AA593" s="1507"/>
      <c r="AB593" s="1507"/>
      <c r="AC593" s="1507"/>
      <c r="AD593" s="1507"/>
      <c r="AE593" s="1507"/>
      <c r="AF593" s="1507"/>
      <c r="AG593" s="1507"/>
      <c r="AH593" s="1507"/>
      <c r="AI593" s="1507"/>
      <c r="AJ593" s="1507"/>
      <c r="AK593" s="150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483</v>
      </c>
      <c r="BF596" s="122"/>
      <c r="BG596" s="1398"/>
      <c r="BH596" s="1399"/>
      <c r="BI596" s="121" t="s">
        <v>484</v>
      </c>
      <c r="BJ596" s="122"/>
      <c r="BK596" s="1398"/>
      <c r="BL596" s="1399"/>
      <c r="BM596" s="3"/>
      <c r="BN596" s="1520" t="s">
        <v>642</v>
      </c>
      <c r="BO596" s="1521"/>
      <c r="BP596" s="1521"/>
      <c r="BQ596" s="1521"/>
      <c r="BR596" s="1522"/>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469</v>
      </c>
      <c r="CI596" s="1512"/>
      <c r="CJ596" s="1512"/>
      <c r="CK596" s="1512"/>
      <c r="CL596" s="1512"/>
      <c r="CM596" s="1512" t="s">
        <v>30</v>
      </c>
      <c r="CN596" s="1512"/>
      <c r="CO596" s="1512"/>
      <c r="CP596" s="1512"/>
      <c r="CQ596" s="1512"/>
      <c r="CR596" s="89"/>
      <c r="CS596" s="1512" t="s">
        <v>642</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469</v>
      </c>
      <c r="DN596" s="1512"/>
      <c r="DO596" s="1512"/>
      <c r="DP596" s="1512"/>
      <c r="DQ596" s="1512"/>
      <c r="DR596" s="1512" t="s">
        <v>30</v>
      </c>
      <c r="DS596" s="1512"/>
      <c r="DT596" s="1512"/>
      <c r="DU596" s="1512"/>
      <c r="DV596" s="1512"/>
      <c r="DX596" s="1512" t="s">
        <v>642</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469</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398">
        <f t="shared" ref="BG597:BG631" si="2">IF(BE597=1,G718,0)</f>
        <v>0</v>
      </c>
      <c r="BH597" s="1399"/>
      <c r="BI597" s="1388">
        <f t="shared" ref="BI597:BI631" si="3">IF(AND(AC718&lt;=0.35,AC718&gt;0),1,0)</f>
        <v>1</v>
      </c>
      <c r="BJ597" s="1390"/>
      <c r="BK597" s="1398">
        <f t="shared" ref="BK597:BK631" si="4">IF(BI597=1,G718,0)</f>
        <v>3</v>
      </c>
      <c r="BL597" s="1399"/>
      <c r="BM597" s="3"/>
      <c r="BN597" s="1393">
        <f t="shared" ref="BN597:BN631" si="5">IF(B718="SRO/Studio",G718,0)</f>
        <v>0</v>
      </c>
      <c r="BO597" s="1394"/>
      <c r="BP597" s="1394"/>
      <c r="BQ597" s="1394"/>
      <c r="BR597" s="1395"/>
      <c r="BS597" s="1396">
        <f t="shared" ref="BS597:BS631" si="6">IF(B718="1 Bedroom",G718,0)</f>
        <v>3</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2">
        <f t="shared" ref="CS597:CS631" si="11">IF(AND(B718="SRO/Studio",AC718&lt;=0.3),G718,0)</f>
        <v>0</v>
      </c>
      <c r="CT597" s="1392"/>
      <c r="CU597" s="1392"/>
      <c r="CV597" s="1392"/>
      <c r="CW597" s="1392"/>
      <c r="CX597" s="1392">
        <f t="shared" ref="CX597:CX631" si="12">IF(AND(B718="1 Bedroom",AC718&lt;=0.3),G718,0)</f>
        <v>3</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354</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398">
        <f t="shared" si="2"/>
        <v>0</v>
      </c>
      <c r="BH598" s="1399"/>
      <c r="BI598" s="1388">
        <f t="shared" si="3"/>
        <v>1</v>
      </c>
      <c r="BJ598" s="1390"/>
      <c r="BK598" s="1398">
        <f t="shared" si="4"/>
        <v>5</v>
      </c>
      <c r="BL598" s="1399"/>
      <c r="BM598" s="3"/>
      <c r="BN598" s="1393">
        <f t="shared" si="5"/>
        <v>0</v>
      </c>
      <c r="BO598" s="1394"/>
      <c r="BP598" s="1394"/>
      <c r="BQ598" s="1394"/>
      <c r="BR598" s="1395"/>
      <c r="BS598" s="1396">
        <f t="shared" si="6"/>
        <v>0</v>
      </c>
      <c r="BT598" s="1396"/>
      <c r="BU598" s="1396"/>
      <c r="BV598" s="1396"/>
      <c r="BW598" s="1396"/>
      <c r="BX598" s="1396">
        <f t="shared" si="7"/>
        <v>5</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2">
        <f t="shared" si="11"/>
        <v>0</v>
      </c>
      <c r="CT598" s="1392"/>
      <c r="CU598" s="1392"/>
      <c r="CV598" s="1392"/>
      <c r="CW598" s="1392"/>
      <c r="CX598" s="1392">
        <f t="shared" si="12"/>
        <v>0</v>
      </c>
      <c r="CY598" s="1392"/>
      <c r="CZ598" s="1392"/>
      <c r="DA598" s="1392"/>
      <c r="DB598" s="1392"/>
      <c r="DC598" s="1392">
        <f t="shared" si="13"/>
        <v>5</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t="str">
        <f t="shared" si="18"/>
        <v/>
      </c>
      <c r="ED598" s="1389"/>
      <c r="EE598" s="1389"/>
      <c r="EF598" s="1389"/>
      <c r="EG598" s="1390"/>
      <c r="EH598" s="1388">
        <f t="shared" si="19"/>
        <v>404</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678</v>
      </c>
      <c r="O599" s="1380"/>
      <c r="T599" s="22"/>
      <c r="U599" t="s">
        <v>20</v>
      </c>
      <c r="AG599" s="1380" t="s">
        <v>678</v>
      </c>
      <c r="AH599" s="1380"/>
      <c r="BA599" s="4" t="s">
        <v>164</v>
      </c>
      <c r="BB599" s="3"/>
      <c r="BC599" s="3"/>
      <c r="BD599" s="3"/>
      <c r="BE599" s="1388">
        <f t="shared" si="1"/>
        <v>0</v>
      </c>
      <c r="BF599" s="1390"/>
      <c r="BG599" s="1398">
        <f t="shared" si="2"/>
        <v>0</v>
      </c>
      <c r="BH599" s="1399"/>
      <c r="BI599" s="1388">
        <f t="shared" si="3"/>
        <v>1</v>
      </c>
      <c r="BJ599" s="1390"/>
      <c r="BK599" s="1398">
        <f t="shared" si="4"/>
        <v>3</v>
      </c>
      <c r="BL599" s="1399"/>
      <c r="BM599" s="3"/>
      <c r="BN599" s="1393">
        <f t="shared" si="5"/>
        <v>0</v>
      </c>
      <c r="BO599" s="1394"/>
      <c r="BP599" s="1394"/>
      <c r="BQ599" s="1394"/>
      <c r="BR599" s="1395"/>
      <c r="BS599" s="1396">
        <f t="shared" si="6"/>
        <v>0</v>
      </c>
      <c r="BT599" s="1396"/>
      <c r="BU599" s="1396"/>
      <c r="BV599" s="1396"/>
      <c r="BW599" s="1396"/>
      <c r="BX599" s="1396">
        <f t="shared" si="7"/>
        <v>0</v>
      </c>
      <c r="BY599" s="1396"/>
      <c r="BZ599" s="1396"/>
      <c r="CA599" s="1396"/>
      <c r="CB599" s="1396"/>
      <c r="CC599" s="1396">
        <f t="shared" si="8"/>
        <v>3</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3</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t="str">
        <f t="shared" si="18"/>
        <v/>
      </c>
      <c r="ED599" s="1389"/>
      <c r="EE599" s="1389"/>
      <c r="EF599" s="1389"/>
      <c r="EG599" s="1390"/>
      <c r="EH599" s="1388" t="str">
        <f t="shared" si="19"/>
        <v/>
      </c>
      <c r="EI599" s="1389"/>
      <c r="EJ599" s="1389"/>
      <c r="EK599" s="1389"/>
      <c r="EL599" s="1390"/>
      <c r="EM599" s="1388">
        <f t="shared" si="20"/>
        <v>449</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1</v>
      </c>
      <c r="BF600" s="1390"/>
      <c r="BG600" s="1398">
        <f t="shared" si="2"/>
        <v>6</v>
      </c>
      <c r="BH600" s="1399"/>
      <c r="BI600" s="1388">
        <f t="shared" si="3"/>
        <v>0</v>
      </c>
      <c r="BJ600" s="1390"/>
      <c r="BK600" s="1398">
        <f t="shared" si="4"/>
        <v>0</v>
      </c>
      <c r="BL600" s="1399"/>
      <c r="BM600" s="3"/>
      <c r="BN600" s="1393">
        <f t="shared" si="5"/>
        <v>0</v>
      </c>
      <c r="BO600" s="1394"/>
      <c r="BP600" s="1394"/>
      <c r="BQ600" s="1394"/>
      <c r="BR600" s="1395"/>
      <c r="BS600" s="1396">
        <f t="shared" si="6"/>
        <v>6</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519</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470</v>
      </c>
      <c r="B601" t="s">
        <v>472</v>
      </c>
      <c r="G601" s="1507">
        <f>C562</f>
        <v>0</v>
      </c>
      <c r="H601" s="1507"/>
      <c r="I601" s="1507"/>
      <c r="J601" s="1507"/>
      <c r="K601" s="1507"/>
      <c r="L601" s="1507"/>
      <c r="M601" s="1507"/>
      <c r="N601" s="1507"/>
      <c r="O601" s="1507"/>
      <c r="P601" s="1507"/>
      <c r="Q601" s="1507"/>
      <c r="R601" s="1507"/>
      <c r="T601" s="55" t="s">
        <v>655</v>
      </c>
      <c r="U601" t="s">
        <v>472</v>
      </c>
      <c r="Z601" s="1507">
        <f>C563</f>
        <v>0</v>
      </c>
      <c r="AA601" s="1507"/>
      <c r="AB601" s="1507"/>
      <c r="AC601" s="1507"/>
      <c r="AD601" s="1507"/>
      <c r="AE601" s="1507"/>
      <c r="AF601" s="1507"/>
      <c r="AG601" s="1507"/>
      <c r="AH601" s="1507"/>
      <c r="AI601" s="1507"/>
      <c r="AJ601" s="1507"/>
      <c r="AK601" s="1507"/>
      <c r="BA601" s="4" t="s">
        <v>30</v>
      </c>
      <c r="BB601" s="3"/>
      <c r="BC601" s="3"/>
      <c r="BD601" s="3"/>
      <c r="BE601" s="1388">
        <f t="shared" si="1"/>
        <v>1</v>
      </c>
      <c r="BF601" s="1390"/>
      <c r="BG601" s="1398">
        <f t="shared" si="2"/>
        <v>13</v>
      </c>
      <c r="BH601" s="1399"/>
      <c r="BI601" s="1388">
        <f t="shared" si="3"/>
        <v>0</v>
      </c>
      <c r="BJ601" s="1390"/>
      <c r="BK601" s="1398">
        <f t="shared" si="4"/>
        <v>0</v>
      </c>
      <c r="BL601" s="1399"/>
      <c r="BM601" s="3"/>
      <c r="BN601" s="1393">
        <f t="shared" si="5"/>
        <v>0</v>
      </c>
      <c r="BO601" s="1394"/>
      <c r="BP601" s="1394"/>
      <c r="BQ601" s="1394"/>
      <c r="BR601" s="1395"/>
      <c r="BS601" s="1396">
        <f t="shared" si="6"/>
        <v>0</v>
      </c>
      <c r="BT601" s="1396"/>
      <c r="BU601" s="1396"/>
      <c r="BV601" s="1396"/>
      <c r="BW601" s="1396"/>
      <c r="BX601" s="1396">
        <f t="shared" si="7"/>
        <v>13</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602</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398">
        <f t="shared" si="2"/>
        <v>6</v>
      </c>
      <c r="BH602" s="1399"/>
      <c r="BI602" s="1388">
        <f t="shared" si="3"/>
        <v>0</v>
      </c>
      <c r="BJ602" s="1390"/>
      <c r="BK602" s="1398">
        <f t="shared" si="4"/>
        <v>0</v>
      </c>
      <c r="BL602" s="1399"/>
      <c r="BM602" s="3"/>
      <c r="BN602" s="1393">
        <f t="shared" si="5"/>
        <v>0</v>
      </c>
      <c r="BO602" s="1394"/>
      <c r="BP602" s="1394"/>
      <c r="BQ602" s="1394"/>
      <c r="BR602" s="1395"/>
      <c r="BS602" s="1396">
        <f t="shared" si="6"/>
        <v>0</v>
      </c>
      <c r="BT602" s="1396"/>
      <c r="BU602" s="1396"/>
      <c r="BV602" s="1396"/>
      <c r="BW602" s="1396"/>
      <c r="BX602" s="1396">
        <f t="shared" si="7"/>
        <v>0</v>
      </c>
      <c r="BY602" s="1396"/>
      <c r="BZ602" s="1396"/>
      <c r="CA602" s="1396"/>
      <c r="CB602" s="1396"/>
      <c r="CC602" s="1396">
        <f t="shared" si="8"/>
        <v>6</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t="str">
        <f t="shared" si="19"/>
        <v/>
      </c>
      <c r="EI602" s="1389"/>
      <c r="EJ602" s="1389"/>
      <c r="EK602" s="1389"/>
      <c r="EL602" s="1390"/>
      <c r="EM602" s="1388">
        <f t="shared" si="20"/>
        <v>677</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54"/>
      <c r="AA603" s="1454"/>
      <c r="AB603" s="1454"/>
      <c r="AC603" s="1454"/>
      <c r="AD603" s="1454"/>
      <c r="AE603" s="1454"/>
      <c r="AF603" s="1454"/>
      <c r="AG603" s="1454"/>
      <c r="AH603" s="1454"/>
      <c r="AI603" s="1454"/>
      <c r="AJ603" s="1454"/>
      <c r="AK603" s="1454"/>
      <c r="AZ603" s="3"/>
      <c r="BA603" s="3"/>
      <c r="BB603" s="3"/>
      <c r="BC603" s="3"/>
      <c r="BD603" s="3"/>
      <c r="BE603" s="1388">
        <f t="shared" si="1"/>
        <v>1</v>
      </c>
      <c r="BF603" s="1390"/>
      <c r="BG603" s="1398">
        <f t="shared" si="2"/>
        <v>9</v>
      </c>
      <c r="BH603" s="1399"/>
      <c r="BI603" s="1388">
        <f t="shared" si="3"/>
        <v>0</v>
      </c>
      <c r="BJ603" s="1390"/>
      <c r="BK603" s="1398">
        <f t="shared" si="4"/>
        <v>0</v>
      </c>
      <c r="BL603" s="1399"/>
      <c r="BM603" s="3"/>
      <c r="BN603" s="1393">
        <f t="shared" si="5"/>
        <v>0</v>
      </c>
      <c r="BO603" s="1394"/>
      <c r="BP603" s="1394"/>
      <c r="BQ603" s="1394"/>
      <c r="BR603" s="1395"/>
      <c r="BS603" s="1396">
        <f t="shared" si="6"/>
        <v>9</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f t="shared" si="18"/>
        <v>683</v>
      </c>
      <c r="ED603" s="1389"/>
      <c r="EE603" s="1389"/>
      <c r="EF603" s="1389"/>
      <c r="EG603" s="1390"/>
      <c r="EH603" s="1388" t="str">
        <f t="shared" si="19"/>
        <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388">
        <f t="shared" si="1"/>
        <v>1</v>
      </c>
      <c r="BF604" s="1390"/>
      <c r="BG604" s="1398">
        <f t="shared" si="2"/>
        <v>21</v>
      </c>
      <c r="BH604" s="1399"/>
      <c r="BI604" s="1388">
        <f t="shared" si="3"/>
        <v>0</v>
      </c>
      <c r="BJ604" s="1390"/>
      <c r="BK604" s="1398">
        <f t="shared" si="4"/>
        <v>0</v>
      </c>
      <c r="BL604" s="1399"/>
      <c r="BM604" s="3"/>
      <c r="BN604" s="1393">
        <f t="shared" si="5"/>
        <v>0</v>
      </c>
      <c r="BO604" s="1394"/>
      <c r="BP604" s="1394"/>
      <c r="BQ604" s="1394"/>
      <c r="BR604" s="1395"/>
      <c r="BS604" s="1396">
        <f t="shared" si="6"/>
        <v>0</v>
      </c>
      <c r="BT604" s="1396"/>
      <c r="BU604" s="1396"/>
      <c r="BV604" s="1396"/>
      <c r="BW604" s="1396"/>
      <c r="BX604" s="1396">
        <f t="shared" si="7"/>
        <v>21</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799</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1</v>
      </c>
      <c r="BF605" s="1390"/>
      <c r="BG605" s="1398">
        <f t="shared" si="2"/>
        <v>10</v>
      </c>
      <c r="BH605" s="1399"/>
      <c r="BI605" s="1388">
        <f t="shared" si="3"/>
        <v>0</v>
      </c>
      <c r="BJ605" s="1390"/>
      <c r="BK605" s="1398">
        <f t="shared" si="4"/>
        <v>0</v>
      </c>
      <c r="BL605" s="1399"/>
      <c r="BM605" s="3"/>
      <c r="BN605" s="1393">
        <f t="shared" si="5"/>
        <v>0</v>
      </c>
      <c r="BO605" s="1394"/>
      <c r="BP605" s="1394"/>
      <c r="BQ605" s="1394"/>
      <c r="BR605" s="1395"/>
      <c r="BS605" s="1396">
        <f t="shared" si="6"/>
        <v>0</v>
      </c>
      <c r="BT605" s="1396"/>
      <c r="BU605" s="1396"/>
      <c r="BV605" s="1396"/>
      <c r="BW605" s="1396"/>
      <c r="BX605" s="1396">
        <f t="shared" si="7"/>
        <v>0</v>
      </c>
      <c r="BY605" s="1396"/>
      <c r="BZ605" s="1396"/>
      <c r="CA605" s="1396"/>
      <c r="CB605" s="1396"/>
      <c r="CC605" s="1396">
        <f t="shared" si="8"/>
        <v>10</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905</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398">
        <f t="shared" si="2"/>
        <v>0</v>
      </c>
      <c r="BH606" s="1399"/>
      <c r="BI606" s="1388">
        <f t="shared" si="3"/>
        <v>0</v>
      </c>
      <c r="BJ606" s="1390"/>
      <c r="BK606" s="1398">
        <f t="shared" si="4"/>
        <v>0</v>
      </c>
      <c r="BL606" s="1399"/>
      <c r="BM606" s="3"/>
      <c r="BN606" s="1393">
        <f t="shared" si="5"/>
        <v>0</v>
      </c>
      <c r="BO606" s="1394"/>
      <c r="BP606" s="1394"/>
      <c r="BQ606" s="1394"/>
      <c r="BR606" s="1395"/>
      <c r="BS606" s="1396">
        <f t="shared" si="6"/>
        <v>6</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f t="shared" si="18"/>
        <v>848</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398">
        <f t="shared" si="2"/>
        <v>0</v>
      </c>
      <c r="BH607" s="1399"/>
      <c r="BI607" s="1388">
        <f t="shared" si="3"/>
        <v>0</v>
      </c>
      <c r="BJ607" s="1390"/>
      <c r="BK607" s="1398">
        <f t="shared" si="4"/>
        <v>0</v>
      </c>
      <c r="BL607" s="1399"/>
      <c r="BM607" s="3"/>
      <c r="BN607" s="1393">
        <f t="shared" si="5"/>
        <v>0</v>
      </c>
      <c r="BO607" s="1394"/>
      <c r="BP607" s="1394"/>
      <c r="BQ607" s="1394"/>
      <c r="BR607" s="1395"/>
      <c r="BS607" s="1396">
        <f t="shared" si="6"/>
        <v>0</v>
      </c>
      <c r="BT607" s="1396"/>
      <c r="BU607" s="1396"/>
      <c r="BV607" s="1396"/>
      <c r="BW607" s="1396"/>
      <c r="BX607" s="1396">
        <f t="shared" si="7"/>
        <v>11</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f t="shared" si="19"/>
        <v>997</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398">
        <f t="shared" si="2"/>
        <v>0</v>
      </c>
      <c r="BH608" s="1399"/>
      <c r="BI608" s="1388">
        <f t="shared" si="3"/>
        <v>0</v>
      </c>
      <c r="BJ608" s="1390"/>
      <c r="BK608" s="1398">
        <f t="shared" si="4"/>
        <v>0</v>
      </c>
      <c r="BL608" s="1399"/>
      <c r="BM608" s="3"/>
      <c r="BN608" s="1393">
        <f t="shared" si="5"/>
        <v>0</v>
      </c>
      <c r="BO608" s="1394"/>
      <c r="BP608" s="1394"/>
      <c r="BQ608" s="1394"/>
      <c r="BR608" s="1395"/>
      <c r="BS608" s="1396">
        <f t="shared" si="6"/>
        <v>0</v>
      </c>
      <c r="BT608" s="1396"/>
      <c r="BU608" s="1396"/>
      <c r="BV608" s="1396"/>
      <c r="BW608" s="1396"/>
      <c r="BX608" s="1396">
        <f t="shared" si="7"/>
        <v>0</v>
      </c>
      <c r="BY608" s="1396"/>
      <c r="BZ608" s="1396"/>
      <c r="CA608" s="1396"/>
      <c r="CB608" s="1396"/>
      <c r="CC608" s="1396">
        <f t="shared" si="8"/>
        <v>6</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f t="shared" si="20"/>
        <v>1133</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472</v>
      </c>
      <c r="G609" s="1507">
        <f>C564</f>
        <v>0</v>
      </c>
      <c r="H609" s="1507"/>
      <c r="I609" s="1507"/>
      <c r="J609" s="1507"/>
      <c r="K609" s="1507"/>
      <c r="L609" s="1507"/>
      <c r="M609" s="1507"/>
      <c r="N609" s="1507"/>
      <c r="O609" s="1507"/>
      <c r="P609" s="1507"/>
      <c r="Q609" s="1507"/>
      <c r="R609" s="1507"/>
      <c r="T609" s="55" t="s">
        <v>364</v>
      </c>
      <c r="U609" t="s">
        <v>472</v>
      </c>
      <c r="Z609" s="1507">
        <f>C565</f>
        <v>0</v>
      </c>
      <c r="AA609" s="1507"/>
      <c r="AB609" s="1507"/>
      <c r="AC609" s="1507"/>
      <c r="AD609" s="1507"/>
      <c r="AE609" s="1507"/>
      <c r="AF609" s="1507"/>
      <c r="AG609" s="1507"/>
      <c r="AH609" s="1507"/>
      <c r="AI609" s="1507"/>
      <c r="AJ609" s="1507"/>
      <c r="AK609" s="1507"/>
      <c r="AZ609" s="3"/>
      <c r="BA609" s="3"/>
      <c r="BB609" s="3"/>
      <c r="BC609" s="3"/>
      <c r="BD609" s="3"/>
      <c r="BE609" s="1388">
        <f t="shared" si="1"/>
        <v>0</v>
      </c>
      <c r="BF609" s="1390"/>
      <c r="BG609" s="1398">
        <f t="shared" si="2"/>
        <v>0</v>
      </c>
      <c r="BH609" s="1399"/>
      <c r="BI609" s="1388">
        <f t="shared" si="3"/>
        <v>0</v>
      </c>
      <c r="BJ609" s="1390"/>
      <c r="BK609" s="1398">
        <f t="shared" si="4"/>
        <v>0</v>
      </c>
      <c r="BL609" s="1399"/>
      <c r="BM609" s="3"/>
      <c r="BN609" s="1393">
        <f t="shared" si="5"/>
        <v>0</v>
      </c>
      <c r="BO609" s="1394"/>
      <c r="BP609" s="1394"/>
      <c r="BQ609" s="1394"/>
      <c r="BR609" s="1395"/>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398">
        <f t="shared" si="2"/>
        <v>0</v>
      </c>
      <c r="BH610" s="1399"/>
      <c r="BI610" s="1388">
        <f t="shared" si="3"/>
        <v>0</v>
      </c>
      <c r="BJ610" s="1390"/>
      <c r="BK610" s="1398">
        <f t="shared" si="4"/>
        <v>0</v>
      </c>
      <c r="BL610" s="1399"/>
      <c r="BM610" s="3"/>
      <c r="BN610" s="1393">
        <f t="shared" si="5"/>
        <v>0</v>
      </c>
      <c r="BO610" s="1394"/>
      <c r="BP610" s="1394"/>
      <c r="BQ610" s="1394"/>
      <c r="BR610" s="1395"/>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54"/>
      <c r="AA611" s="1454"/>
      <c r="AB611" s="1454"/>
      <c r="AC611" s="1454"/>
      <c r="AD611" s="1454"/>
      <c r="AE611" s="1454"/>
      <c r="AF611" s="1454"/>
      <c r="AG611" s="1454"/>
      <c r="AH611" s="1454"/>
      <c r="AI611" s="1454"/>
      <c r="AJ611" s="1454"/>
      <c r="AK611" s="1454"/>
      <c r="AZ611" s="3"/>
      <c r="BA611" s="3"/>
      <c r="BB611" s="3"/>
      <c r="BC611" s="3"/>
      <c r="BD611" s="3"/>
      <c r="BE611" s="1388">
        <f t="shared" si="1"/>
        <v>0</v>
      </c>
      <c r="BF611" s="1390"/>
      <c r="BG611" s="1398">
        <f t="shared" si="2"/>
        <v>0</v>
      </c>
      <c r="BH611" s="1399"/>
      <c r="BI611" s="1388">
        <f t="shared" si="3"/>
        <v>0</v>
      </c>
      <c r="BJ611" s="1390"/>
      <c r="BK611" s="1398">
        <f t="shared" si="4"/>
        <v>0</v>
      </c>
      <c r="BL611" s="1399"/>
      <c r="BM611" s="3"/>
      <c r="BN611" s="1393">
        <f t="shared" si="5"/>
        <v>0</v>
      </c>
      <c r="BO611" s="1394"/>
      <c r="BP611" s="1394"/>
      <c r="BQ611" s="1394"/>
      <c r="BR611" s="1395"/>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54"/>
      <c r="AA612" s="1454"/>
      <c r="AB612" s="1454"/>
      <c r="AC612" s="1454"/>
      <c r="AD612" s="1454"/>
      <c r="AE612" s="1454"/>
      <c r="AF612" s="1454"/>
      <c r="AG612" s="1454"/>
      <c r="AH612" s="1454"/>
      <c r="AI612" s="1454"/>
      <c r="AJ612" s="1454"/>
      <c r="AK612" s="1454"/>
      <c r="AZ612" s="3"/>
      <c r="BA612" s="3"/>
      <c r="BB612" s="3"/>
      <c r="BC612" s="3"/>
      <c r="BD612" s="3"/>
      <c r="BE612" s="1388">
        <f t="shared" si="1"/>
        <v>0</v>
      </c>
      <c r="BF612" s="1390"/>
      <c r="BG612" s="1398">
        <f t="shared" si="2"/>
        <v>0</v>
      </c>
      <c r="BH612" s="1399"/>
      <c r="BI612" s="1388">
        <f t="shared" si="3"/>
        <v>0</v>
      </c>
      <c r="BJ612" s="1390"/>
      <c r="BK612" s="1398">
        <f t="shared" si="4"/>
        <v>0</v>
      </c>
      <c r="BL612" s="1399"/>
      <c r="BM612" s="3"/>
      <c r="BN612" s="1393">
        <f t="shared" si="5"/>
        <v>0</v>
      </c>
      <c r="BO612" s="1394"/>
      <c r="BP612" s="1394"/>
      <c r="BQ612" s="1394"/>
      <c r="BR612" s="1395"/>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398">
        <f t="shared" si="2"/>
        <v>0</v>
      </c>
      <c r="BH613" s="1399"/>
      <c r="BI613" s="1388">
        <f t="shared" si="3"/>
        <v>0</v>
      </c>
      <c r="BJ613" s="1390"/>
      <c r="BK613" s="1398">
        <f t="shared" si="4"/>
        <v>0</v>
      </c>
      <c r="BL613" s="1399"/>
      <c r="BM613" s="3"/>
      <c r="BN613" s="1393">
        <f t="shared" si="5"/>
        <v>0</v>
      </c>
      <c r="BO613" s="1394"/>
      <c r="BP613" s="1394"/>
      <c r="BQ613" s="1394"/>
      <c r="BR613" s="139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398">
        <f t="shared" si="2"/>
        <v>0</v>
      </c>
      <c r="BH614" s="1399"/>
      <c r="BI614" s="1388">
        <f t="shared" si="3"/>
        <v>0</v>
      </c>
      <c r="BJ614" s="1390"/>
      <c r="BK614" s="1398">
        <f t="shared" si="4"/>
        <v>0</v>
      </c>
      <c r="BL614" s="1399"/>
      <c r="BM614" s="3"/>
      <c r="BN614" s="1393">
        <f t="shared" si="5"/>
        <v>0</v>
      </c>
      <c r="BO614" s="1394"/>
      <c r="BP614" s="1394"/>
      <c r="BQ614" s="1394"/>
      <c r="BR614" s="139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398">
        <f t="shared" si="2"/>
        <v>0</v>
      </c>
      <c r="BH615" s="1399"/>
      <c r="BI615" s="1388">
        <f t="shared" si="3"/>
        <v>0</v>
      </c>
      <c r="BJ615" s="1390"/>
      <c r="BK615" s="1398">
        <f t="shared" si="4"/>
        <v>0</v>
      </c>
      <c r="BL615" s="1399"/>
      <c r="BM615" s="3"/>
      <c r="BN615" s="1393">
        <f t="shared" si="5"/>
        <v>0</v>
      </c>
      <c r="BO615" s="1394"/>
      <c r="BP615" s="1394"/>
      <c r="BQ615" s="1394"/>
      <c r="BR615" s="139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398">
        <f t="shared" si="2"/>
        <v>0</v>
      </c>
      <c r="BH616" s="1399"/>
      <c r="BI616" s="1388">
        <f t="shared" si="3"/>
        <v>0</v>
      </c>
      <c r="BJ616" s="1390"/>
      <c r="BK616" s="1398">
        <f t="shared" si="4"/>
        <v>0</v>
      </c>
      <c r="BL616" s="1399"/>
      <c r="BM616" s="3"/>
      <c r="BN616" s="1393">
        <f t="shared" si="5"/>
        <v>0</v>
      </c>
      <c r="BO616" s="1394"/>
      <c r="BP616" s="1394"/>
      <c r="BQ616" s="1394"/>
      <c r="BR616" s="139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398">
        <f t="shared" si="2"/>
        <v>0</v>
      </c>
      <c r="BH617" s="1399"/>
      <c r="BI617" s="1388">
        <f t="shared" si="3"/>
        <v>0</v>
      </c>
      <c r="BJ617" s="1390"/>
      <c r="BK617" s="1398">
        <f t="shared" si="4"/>
        <v>0</v>
      </c>
      <c r="BL617" s="1399"/>
      <c r="BM617" s="3"/>
      <c r="BN617" s="1393">
        <f t="shared" si="5"/>
        <v>0</v>
      </c>
      <c r="BO617" s="1394"/>
      <c r="BP617" s="1394"/>
      <c r="BQ617" s="1394"/>
      <c r="BR617" s="139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398">
        <f t="shared" si="2"/>
        <v>0</v>
      </c>
      <c r="BH618" s="1399"/>
      <c r="BI618" s="1388">
        <f t="shared" si="3"/>
        <v>0</v>
      </c>
      <c r="BJ618" s="1390"/>
      <c r="BK618" s="1398">
        <f t="shared" si="4"/>
        <v>0</v>
      </c>
      <c r="BL618" s="1399"/>
      <c r="BM618" s="3"/>
      <c r="BN618" s="1393">
        <f t="shared" si="5"/>
        <v>0</v>
      </c>
      <c r="BO618" s="1394"/>
      <c r="BP618" s="1394"/>
      <c r="BQ618" s="1394"/>
      <c r="BR618" s="139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398">
        <f t="shared" si="2"/>
        <v>0</v>
      </c>
      <c r="BH619" s="1399"/>
      <c r="BI619" s="1388">
        <f t="shared" si="3"/>
        <v>0</v>
      </c>
      <c r="BJ619" s="1390"/>
      <c r="BK619" s="1398">
        <f t="shared" si="4"/>
        <v>0</v>
      </c>
      <c r="BL619" s="1399"/>
      <c r="BM619" s="3"/>
      <c r="BN619" s="1393">
        <f t="shared" si="5"/>
        <v>0</v>
      </c>
      <c r="BO619" s="1394"/>
      <c r="BP619" s="1394"/>
      <c r="BQ619" s="1394"/>
      <c r="BR619" s="139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398">
        <f t="shared" si="2"/>
        <v>0</v>
      </c>
      <c r="BH620" s="1399"/>
      <c r="BI620" s="1388">
        <f t="shared" si="3"/>
        <v>0</v>
      </c>
      <c r="BJ620" s="1390"/>
      <c r="BK620" s="1398">
        <f t="shared" si="4"/>
        <v>0</v>
      </c>
      <c r="BL620" s="1399"/>
      <c r="BM620" s="3"/>
      <c r="BN620" s="1393">
        <f t="shared" si="5"/>
        <v>0</v>
      </c>
      <c r="BO620" s="1394"/>
      <c r="BP620" s="1394"/>
      <c r="BQ620" s="1394"/>
      <c r="BR620" s="139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398">
        <f t="shared" si="2"/>
        <v>0</v>
      </c>
      <c r="BH621" s="1399"/>
      <c r="BI621" s="1388">
        <f t="shared" si="3"/>
        <v>0</v>
      </c>
      <c r="BJ621" s="1390"/>
      <c r="BK621" s="1398">
        <f t="shared" si="4"/>
        <v>0</v>
      </c>
      <c r="BL621" s="1399"/>
      <c r="BM621" s="3"/>
      <c r="BN621" s="1393">
        <f t="shared" si="5"/>
        <v>0</v>
      </c>
      <c r="BO621" s="1394"/>
      <c r="BP621" s="1394"/>
      <c r="BQ621" s="1394"/>
      <c r="BR621" s="1395"/>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2421</v>
      </c>
      <c r="AZ622" s="3"/>
      <c r="BA622" s="3"/>
      <c r="BB622" s="3"/>
      <c r="BC622" s="3"/>
      <c r="BD622" s="3"/>
      <c r="BE622" s="1388">
        <f t="shared" si="1"/>
        <v>0</v>
      </c>
      <c r="BF622" s="1390"/>
      <c r="BG622" s="1398">
        <f t="shared" si="2"/>
        <v>0</v>
      </c>
      <c r="BH622" s="1399"/>
      <c r="BI622" s="1388">
        <f t="shared" si="3"/>
        <v>0</v>
      </c>
      <c r="BJ622" s="1390"/>
      <c r="BK622" s="1398">
        <f t="shared" si="4"/>
        <v>0</v>
      </c>
      <c r="BL622" s="1399"/>
      <c r="BM622" s="3"/>
      <c r="BN622" s="1393">
        <f t="shared" si="5"/>
        <v>0</v>
      </c>
      <c r="BO622" s="1394"/>
      <c r="BP622" s="1394"/>
      <c r="BQ622" s="1394"/>
      <c r="BR622" s="1395"/>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398">
        <f t="shared" si="2"/>
        <v>0</v>
      </c>
      <c r="BH623" s="1399"/>
      <c r="BI623" s="1388">
        <f t="shared" si="3"/>
        <v>0</v>
      </c>
      <c r="BJ623" s="1390"/>
      <c r="BK623" s="1398">
        <f t="shared" si="4"/>
        <v>0</v>
      </c>
      <c r="BL623" s="1399"/>
      <c r="BM623" s="3"/>
      <c r="BN623" s="1393">
        <f t="shared" si="5"/>
        <v>0</v>
      </c>
      <c r="BO623" s="1394"/>
      <c r="BP623" s="1394"/>
      <c r="BQ623" s="1394"/>
      <c r="BR623" s="1395"/>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51" t="s">
        <v>2423</v>
      </c>
      <c r="C624" s="1851"/>
      <c r="D624" s="1851"/>
      <c r="E624" s="1851"/>
      <c r="F624" s="1851"/>
      <c r="G624" s="1851"/>
      <c r="H624" s="1851"/>
      <c r="I624" s="1851"/>
      <c r="J624" s="1851"/>
      <c r="K624" s="1851"/>
      <c r="L624" s="1851"/>
      <c r="M624" s="1726" t="s">
        <v>2424</v>
      </c>
      <c r="N624" s="1726"/>
      <c r="O624" s="1726"/>
      <c r="P624" s="1726"/>
      <c r="Q624" s="1726" t="s">
        <v>2045</v>
      </c>
      <c r="R624" s="1726"/>
      <c r="S624" s="1726"/>
      <c r="T624" s="1726" t="s">
        <v>2043</v>
      </c>
      <c r="U624" s="1726"/>
      <c r="V624" s="1726"/>
      <c r="W624" s="1853" t="s">
        <v>462</v>
      </c>
      <c r="X624" s="1853"/>
      <c r="Y624" s="1853"/>
      <c r="Z624" s="1420" t="s">
        <v>2453</v>
      </c>
      <c r="AA624" s="1420"/>
      <c r="AB624" s="1421"/>
      <c r="AC624" s="1714" t="s">
        <v>1866</v>
      </c>
      <c r="AD624" s="1715"/>
      <c r="AE624" s="1716"/>
      <c r="AF624" s="1419" t="s">
        <v>2232</v>
      </c>
      <c r="AG624" s="1420"/>
      <c r="AH624" s="1420"/>
      <c r="AI624" s="1420"/>
      <c r="AJ624" s="1421"/>
      <c r="AK624" s="1765" t="s">
        <v>2233</v>
      </c>
      <c r="AL624" s="1766"/>
      <c r="AM624" s="1766"/>
      <c r="AN624" s="1767"/>
      <c r="AO624" s="1726" t="s">
        <v>463</v>
      </c>
      <c r="AP624" s="1726"/>
      <c r="AQ624" s="1726"/>
      <c r="AR624" s="1726"/>
      <c r="AS624" s="1726"/>
      <c r="AU624" s="3"/>
      <c r="AZ624" s="3"/>
      <c r="BA624" s="3"/>
      <c r="BB624" s="3"/>
      <c r="BC624" s="3"/>
      <c r="BD624" s="3"/>
      <c r="BE624" s="1388">
        <f t="shared" si="1"/>
        <v>0</v>
      </c>
      <c r="BF624" s="1390"/>
      <c r="BG624" s="1398">
        <f t="shared" si="2"/>
        <v>0</v>
      </c>
      <c r="BH624" s="1399"/>
      <c r="BI624" s="1388">
        <f t="shared" si="3"/>
        <v>0</v>
      </c>
      <c r="BJ624" s="1390"/>
      <c r="BK624" s="1398">
        <f t="shared" si="4"/>
        <v>0</v>
      </c>
      <c r="BL624" s="1399"/>
      <c r="BM624" s="3"/>
      <c r="BN624" s="1393">
        <f t="shared" si="5"/>
        <v>0</v>
      </c>
      <c r="BO624" s="1394"/>
      <c r="BP624" s="1394"/>
      <c r="BQ624" s="1394"/>
      <c r="BR624" s="1395"/>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51"/>
      <c r="C625" s="1851"/>
      <c r="D625" s="1851"/>
      <c r="E625" s="1851"/>
      <c r="F625" s="1851"/>
      <c r="G625" s="1851"/>
      <c r="H625" s="1851"/>
      <c r="I625" s="1851"/>
      <c r="J625" s="1851"/>
      <c r="K625" s="1851"/>
      <c r="L625" s="1851"/>
      <c r="M625" s="1726"/>
      <c r="N625" s="1726"/>
      <c r="O625" s="1726"/>
      <c r="P625" s="1726"/>
      <c r="Q625" s="1726"/>
      <c r="R625" s="1726"/>
      <c r="S625" s="1726"/>
      <c r="T625" s="1726"/>
      <c r="U625" s="1726"/>
      <c r="V625" s="1726"/>
      <c r="W625" s="1853"/>
      <c r="X625" s="1853"/>
      <c r="Y625" s="1853"/>
      <c r="Z625" s="1423"/>
      <c r="AA625" s="1423"/>
      <c r="AB625" s="1424"/>
      <c r="AC625" s="1717"/>
      <c r="AD625" s="1718"/>
      <c r="AE625" s="1719"/>
      <c r="AF625" s="1422"/>
      <c r="AG625" s="1423"/>
      <c r="AH625" s="1423"/>
      <c r="AI625" s="1423"/>
      <c r="AJ625" s="1424"/>
      <c r="AK625" s="1768"/>
      <c r="AL625" s="1769"/>
      <c r="AM625" s="1769"/>
      <c r="AN625" s="1770"/>
      <c r="AO625" s="1726"/>
      <c r="AP625" s="1726"/>
      <c r="AQ625" s="1726"/>
      <c r="AR625" s="1726"/>
      <c r="AS625" s="1726"/>
      <c r="AU625" s="3"/>
      <c r="AZ625" s="3"/>
      <c r="BA625" s="3"/>
      <c r="BB625" s="3"/>
      <c r="BC625" s="3"/>
      <c r="BD625" s="3"/>
      <c r="BE625" s="1388">
        <f t="shared" si="1"/>
        <v>0</v>
      </c>
      <c r="BF625" s="1390"/>
      <c r="BG625" s="1398">
        <f t="shared" si="2"/>
        <v>0</v>
      </c>
      <c r="BH625" s="1399"/>
      <c r="BI625" s="1388">
        <f t="shared" si="3"/>
        <v>0</v>
      </c>
      <c r="BJ625" s="1390"/>
      <c r="BK625" s="1398">
        <f t="shared" si="4"/>
        <v>0</v>
      </c>
      <c r="BL625" s="1399"/>
      <c r="BM625" s="3"/>
      <c r="BN625" s="1393">
        <f t="shared" si="5"/>
        <v>0</v>
      </c>
      <c r="BO625" s="1394"/>
      <c r="BP625" s="1394"/>
      <c r="BQ625" s="1394"/>
      <c r="BR625" s="1395"/>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51"/>
      <c r="C626" s="1851"/>
      <c r="D626" s="1851"/>
      <c r="E626" s="1851"/>
      <c r="F626" s="1851"/>
      <c r="G626" s="1851"/>
      <c r="H626" s="1851"/>
      <c r="I626" s="1851"/>
      <c r="J626" s="1851"/>
      <c r="K626" s="1851"/>
      <c r="L626" s="1851"/>
      <c r="M626" s="1726"/>
      <c r="N626" s="1726"/>
      <c r="O626" s="1726"/>
      <c r="P626" s="1726"/>
      <c r="Q626" s="1726"/>
      <c r="R626" s="1726"/>
      <c r="S626" s="1726"/>
      <c r="T626" s="1726"/>
      <c r="U626" s="1726"/>
      <c r="V626" s="1726"/>
      <c r="W626" s="1853"/>
      <c r="X626" s="1853"/>
      <c r="Y626" s="1853"/>
      <c r="Z626" s="1426"/>
      <c r="AA626" s="1426"/>
      <c r="AB626" s="1427"/>
      <c r="AC626" s="1720"/>
      <c r="AD626" s="1721"/>
      <c r="AE626" s="1722"/>
      <c r="AF626" s="1425"/>
      <c r="AG626" s="1426"/>
      <c r="AH626" s="1426"/>
      <c r="AI626" s="1426"/>
      <c r="AJ626" s="1427"/>
      <c r="AK626" s="1771"/>
      <c r="AL626" s="1772"/>
      <c r="AM626" s="1772"/>
      <c r="AN626" s="1773"/>
      <c r="AO626" s="1726"/>
      <c r="AP626" s="1726"/>
      <c r="AQ626" s="1726"/>
      <c r="AR626" s="1726"/>
      <c r="AS626" s="1726"/>
      <c r="AT626" s="3"/>
      <c r="AU626" s="3"/>
      <c r="AZ626" s="3"/>
      <c r="BA626" s="3"/>
      <c r="BB626" s="3"/>
      <c r="BC626" s="3"/>
      <c r="BD626" s="3"/>
      <c r="BE626" s="1388">
        <f t="shared" si="1"/>
        <v>0</v>
      </c>
      <c r="BF626" s="1390"/>
      <c r="BG626" s="1398">
        <f t="shared" si="2"/>
        <v>0</v>
      </c>
      <c r="BH626" s="1399"/>
      <c r="BI626" s="1388">
        <f t="shared" si="3"/>
        <v>0</v>
      </c>
      <c r="BJ626" s="1390"/>
      <c r="BK626" s="1398">
        <f t="shared" si="4"/>
        <v>0</v>
      </c>
      <c r="BL626" s="1399"/>
      <c r="BM626" s="3"/>
      <c r="BN626" s="1393">
        <f t="shared" si="5"/>
        <v>0</v>
      </c>
      <c r="BO626" s="1394"/>
      <c r="BP626" s="1394"/>
      <c r="BQ626" s="1394"/>
      <c r="BR626" s="1395"/>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09" t="s">
        <v>2759</v>
      </c>
      <c r="D627" s="1709"/>
      <c r="E627" s="1709"/>
      <c r="F627" s="1709"/>
      <c r="G627" s="1709"/>
      <c r="H627" s="1709"/>
      <c r="I627" s="1709"/>
      <c r="J627" s="1709"/>
      <c r="K627" s="1709"/>
      <c r="L627" s="1709"/>
      <c r="M627" s="1711" t="s">
        <v>2433</v>
      </c>
      <c r="N627" s="1711"/>
      <c r="O627" s="1711"/>
      <c r="P627" s="1711"/>
      <c r="Q627" s="1561">
        <v>55</v>
      </c>
      <c r="R627" s="1561"/>
      <c r="S627" s="1713"/>
      <c r="T627" s="1712">
        <v>660</v>
      </c>
      <c r="U627" s="1561"/>
      <c r="V627" s="1713"/>
      <c r="W627" s="1594">
        <v>0</v>
      </c>
      <c r="X627" s="1595"/>
      <c r="Y627" s="1596"/>
      <c r="Z627" s="1509" t="s">
        <v>1291</v>
      </c>
      <c r="AA627" s="1510"/>
      <c r="AB627" s="1511"/>
      <c r="AC627" s="1406"/>
      <c r="AD627" s="1407"/>
      <c r="AE627" s="1408"/>
      <c r="AF627" s="1588"/>
      <c r="AG627" s="1589"/>
      <c r="AH627" s="1589"/>
      <c r="AI627" s="1589"/>
      <c r="AJ627" s="1590"/>
      <c r="AK627" s="1723"/>
      <c r="AL627" s="1724"/>
      <c r="AM627" s="1724"/>
      <c r="AN627" s="1725"/>
      <c r="AO627" s="1617">
        <v>5469400</v>
      </c>
      <c r="AP627" s="1617"/>
      <c r="AQ627" s="1617"/>
      <c r="AR627" s="1617"/>
      <c r="AS627" s="1617"/>
      <c r="AT627" s="3"/>
      <c r="AU627" s="3"/>
      <c r="AZ627" s="3"/>
      <c r="BA627" s="3"/>
      <c r="BB627" s="3"/>
      <c r="BC627" s="3"/>
      <c r="BD627" s="3"/>
      <c r="BE627" s="1388">
        <f t="shared" si="1"/>
        <v>0</v>
      </c>
      <c r="BF627" s="1390"/>
      <c r="BG627" s="1398">
        <f t="shared" si="2"/>
        <v>0</v>
      </c>
      <c r="BH627" s="1399"/>
      <c r="BI627" s="1388">
        <f t="shared" si="3"/>
        <v>0</v>
      </c>
      <c r="BJ627" s="1390"/>
      <c r="BK627" s="1398">
        <f t="shared" si="4"/>
        <v>0</v>
      </c>
      <c r="BL627" s="1399"/>
      <c r="BM627" s="3"/>
      <c r="BN627" s="1393">
        <f t="shared" si="5"/>
        <v>0</v>
      </c>
      <c r="BO627" s="1394"/>
      <c r="BP627" s="1394"/>
      <c r="BQ627" s="1394"/>
      <c r="BR627" s="1395"/>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09" t="s">
        <v>2760</v>
      </c>
      <c r="D628" s="1709"/>
      <c r="E628" s="1709"/>
      <c r="F628" s="1709"/>
      <c r="G628" s="1709"/>
      <c r="H628" s="1709"/>
      <c r="I628" s="1709"/>
      <c r="J628" s="1709"/>
      <c r="K628" s="1709"/>
      <c r="L628" s="1709"/>
      <c r="M628" s="1711" t="s">
        <v>2436</v>
      </c>
      <c r="N628" s="1711"/>
      <c r="O628" s="1711"/>
      <c r="P628" s="1711"/>
      <c r="Q628" s="1712">
        <v>55</v>
      </c>
      <c r="R628" s="1561"/>
      <c r="S628" s="1713"/>
      <c r="T628" s="1712">
        <v>660</v>
      </c>
      <c r="U628" s="1561"/>
      <c r="V628" s="1713"/>
      <c r="W628" s="1594">
        <v>0.03</v>
      </c>
      <c r="X628" s="1595"/>
      <c r="Y628" s="1596"/>
      <c r="Z628" s="1509" t="s">
        <v>2452</v>
      </c>
      <c r="AA628" s="1510"/>
      <c r="AB628" s="1511"/>
      <c r="AC628" s="1406">
        <v>1</v>
      </c>
      <c r="AD628" s="1407"/>
      <c r="AE628" s="1408"/>
      <c r="AF628" s="1588">
        <v>44409</v>
      </c>
      <c r="AG628" s="1589"/>
      <c r="AH628" s="1589"/>
      <c r="AI628" s="1589"/>
      <c r="AJ628" s="1590"/>
      <c r="AK628" s="1723"/>
      <c r="AL628" s="1724"/>
      <c r="AM628" s="1724"/>
      <c r="AN628" s="1725"/>
      <c r="AO628" s="1581">
        <v>10547446</v>
      </c>
      <c r="AP628" s="1582"/>
      <c r="AQ628" s="1582"/>
      <c r="AR628" s="1582"/>
      <c r="AS628" s="1583"/>
      <c r="AT628" s="1192" t="str">
        <f>IF(AND(NOT(C627=""),C628="",NOT(C629="")),"!","")</f>
        <v/>
      </c>
      <c r="AU628" s="3"/>
      <c r="AZ628" s="3"/>
      <c r="BA628" s="3"/>
      <c r="BB628" s="3"/>
      <c r="BC628" s="3"/>
      <c r="BD628" s="3"/>
      <c r="BE628" s="1388">
        <f t="shared" si="1"/>
        <v>0</v>
      </c>
      <c r="BF628" s="1390"/>
      <c r="BG628" s="1398">
        <f t="shared" si="2"/>
        <v>0</v>
      </c>
      <c r="BH628" s="1399"/>
      <c r="BI628" s="1388">
        <f t="shared" si="3"/>
        <v>0</v>
      </c>
      <c r="BJ628" s="1390"/>
      <c r="BK628" s="1398">
        <f t="shared" si="4"/>
        <v>0</v>
      </c>
      <c r="BL628" s="1399"/>
      <c r="BM628" s="3"/>
      <c r="BN628" s="1393">
        <f t="shared" si="5"/>
        <v>0</v>
      </c>
      <c r="BO628" s="1394"/>
      <c r="BP628" s="1394"/>
      <c r="BQ628" s="1394"/>
      <c r="BR628" s="1395"/>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09" t="s">
        <v>2761</v>
      </c>
      <c r="D629" s="1709"/>
      <c r="E629" s="1709"/>
      <c r="F629" s="1709"/>
      <c r="G629" s="1709"/>
      <c r="H629" s="1709"/>
      <c r="I629" s="1709"/>
      <c r="J629" s="1709"/>
      <c r="K629" s="1709"/>
      <c r="L629" s="1709"/>
      <c r="M629" s="1711" t="s">
        <v>2436</v>
      </c>
      <c r="N629" s="1711"/>
      <c r="O629" s="1711"/>
      <c r="P629" s="1711"/>
      <c r="Q629" s="1712">
        <v>55</v>
      </c>
      <c r="R629" s="1561"/>
      <c r="S629" s="1713"/>
      <c r="T629" s="1712">
        <v>660</v>
      </c>
      <c r="U629" s="1561"/>
      <c r="V629" s="1713"/>
      <c r="W629" s="1594">
        <v>0.03</v>
      </c>
      <c r="X629" s="1595"/>
      <c r="Y629" s="1596"/>
      <c r="Z629" s="1509" t="s">
        <v>2452</v>
      </c>
      <c r="AA629" s="1510"/>
      <c r="AB629" s="1511"/>
      <c r="AC629" s="1406">
        <v>1</v>
      </c>
      <c r="AD629" s="1407"/>
      <c r="AE629" s="1408"/>
      <c r="AF629" s="1588">
        <v>91442</v>
      </c>
      <c r="AG629" s="1589"/>
      <c r="AH629" s="1589"/>
      <c r="AI629" s="1589"/>
      <c r="AJ629" s="1590"/>
      <c r="AK629" s="1723"/>
      <c r="AL629" s="1724"/>
      <c r="AM629" s="1724"/>
      <c r="AN629" s="1725"/>
      <c r="AO629" s="1581">
        <v>21798150</v>
      </c>
      <c r="AP629" s="1582"/>
      <c r="AQ629" s="1582"/>
      <c r="AR629" s="1582"/>
      <c r="AS629" s="1583"/>
      <c r="AT629" s="1192" t="str">
        <f t="shared" ref="AT629:AT638" si="23">IF(AND(NOT(C628=""),C629="",NOT(C630="")),"!","")</f>
        <v/>
      </c>
      <c r="AU629" s="3"/>
      <c r="AZ629" s="3"/>
      <c r="BA629" s="3"/>
      <c r="BB629" s="3"/>
      <c r="BC629" s="3"/>
      <c r="BD629" s="3"/>
      <c r="BE629" s="1388">
        <f t="shared" si="1"/>
        <v>0</v>
      </c>
      <c r="BF629" s="1390"/>
      <c r="BG629" s="1398">
        <f t="shared" si="2"/>
        <v>0</v>
      </c>
      <c r="BH629" s="1399"/>
      <c r="BI629" s="1388">
        <f t="shared" si="3"/>
        <v>0</v>
      </c>
      <c r="BJ629" s="1390"/>
      <c r="BK629" s="1398">
        <f t="shared" si="4"/>
        <v>0</v>
      </c>
      <c r="BL629" s="1399"/>
      <c r="BM629" s="3"/>
      <c r="BN629" s="1393">
        <f t="shared" si="5"/>
        <v>0</v>
      </c>
      <c r="BO629" s="1394"/>
      <c r="BP629" s="1394"/>
      <c r="BQ629" s="1394"/>
      <c r="BR629" s="1395"/>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590</v>
      </c>
      <c r="C630" s="1710" t="s">
        <v>2737</v>
      </c>
      <c r="D630" s="1710"/>
      <c r="E630" s="1710"/>
      <c r="F630" s="1710"/>
      <c r="G630" s="1710"/>
      <c r="H630" s="1710"/>
      <c r="I630" s="1710"/>
      <c r="J630" s="1710"/>
      <c r="K630" s="1710"/>
      <c r="L630" s="1710"/>
      <c r="M630" s="1711" t="s">
        <v>2427</v>
      </c>
      <c r="N630" s="1711"/>
      <c r="O630" s="1711"/>
      <c r="P630" s="1711"/>
      <c r="Q630" s="1712"/>
      <c r="R630" s="1561"/>
      <c r="S630" s="1713"/>
      <c r="T630" s="1712"/>
      <c r="U630" s="1561"/>
      <c r="V630" s="1713"/>
      <c r="W630" s="1594"/>
      <c r="X630" s="1595"/>
      <c r="Y630" s="1596"/>
      <c r="Z630" s="1509" t="s">
        <v>1291</v>
      </c>
      <c r="AA630" s="1510"/>
      <c r="AB630" s="1511"/>
      <c r="AC630" s="1406"/>
      <c r="AD630" s="1407"/>
      <c r="AE630" s="1408"/>
      <c r="AF630" s="1588"/>
      <c r="AG630" s="1589"/>
      <c r="AH630" s="1589"/>
      <c r="AI630" s="1589"/>
      <c r="AJ630" s="1590"/>
      <c r="AK630" s="1723"/>
      <c r="AL630" s="1724"/>
      <c r="AM630" s="1724"/>
      <c r="AN630" s="1725"/>
      <c r="AO630" s="1581">
        <v>5174961</v>
      </c>
      <c r="AP630" s="1582"/>
      <c r="AQ630" s="1582"/>
      <c r="AR630" s="1582"/>
      <c r="AS630" s="1583"/>
      <c r="AT630" s="1192" t="str">
        <f t="shared" si="23"/>
        <v/>
      </c>
      <c r="AU630" s="3"/>
      <c r="AZ630" s="3"/>
      <c r="BA630" s="3"/>
      <c r="BB630" s="3"/>
      <c r="BC630" s="3"/>
      <c r="BD630" s="3"/>
      <c r="BE630" s="1388">
        <f t="shared" si="1"/>
        <v>0</v>
      </c>
      <c r="BF630" s="1390"/>
      <c r="BG630" s="1398">
        <f t="shared" si="2"/>
        <v>0</v>
      </c>
      <c r="BH630" s="1399"/>
      <c r="BI630" s="1388">
        <f t="shared" si="3"/>
        <v>0</v>
      </c>
      <c r="BJ630" s="1390"/>
      <c r="BK630" s="1398">
        <f t="shared" si="4"/>
        <v>0</v>
      </c>
      <c r="BL630" s="1399"/>
      <c r="BM630" s="3"/>
      <c r="BN630" s="1393">
        <f t="shared" si="5"/>
        <v>0</v>
      </c>
      <c r="BO630" s="1394"/>
      <c r="BP630" s="1394"/>
      <c r="BQ630" s="1394"/>
      <c r="BR630" s="1395"/>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773</v>
      </c>
      <c r="C631" s="1710"/>
      <c r="D631" s="1710"/>
      <c r="E631" s="1710"/>
      <c r="F631" s="1710"/>
      <c r="G631" s="1710"/>
      <c r="H631" s="1710"/>
      <c r="I631" s="1710"/>
      <c r="J631" s="1710"/>
      <c r="K631" s="1710"/>
      <c r="L631" s="1710"/>
      <c r="M631" s="1711" t="s">
        <v>1291</v>
      </c>
      <c r="N631" s="1711"/>
      <c r="O631" s="1711"/>
      <c r="P631" s="1711"/>
      <c r="Q631" s="1712"/>
      <c r="R631" s="1561"/>
      <c r="S631" s="1713"/>
      <c r="T631" s="1712"/>
      <c r="U631" s="1561"/>
      <c r="V631" s="1713"/>
      <c r="W631" s="1594"/>
      <c r="X631" s="1595"/>
      <c r="Y631" s="1596"/>
      <c r="Z631" s="1509" t="s">
        <v>1291</v>
      </c>
      <c r="AA631" s="1510"/>
      <c r="AB631" s="1511"/>
      <c r="AC631" s="1406"/>
      <c r="AD631" s="1407"/>
      <c r="AE631" s="1408"/>
      <c r="AF631" s="1588"/>
      <c r="AG631" s="1589"/>
      <c r="AH631" s="1589"/>
      <c r="AI631" s="1589"/>
      <c r="AJ631" s="1590"/>
      <c r="AK631" s="1723"/>
      <c r="AL631" s="1724"/>
      <c r="AM631" s="1724"/>
      <c r="AN631" s="1725"/>
      <c r="AO631" s="1581"/>
      <c r="AP631" s="1582"/>
      <c r="AQ631" s="1582"/>
      <c r="AR631" s="1582"/>
      <c r="AS631" s="1583"/>
      <c r="AT631" s="1192" t="str">
        <f t="shared" si="23"/>
        <v/>
      </c>
      <c r="AU631" s="3"/>
      <c r="AZ631" s="3"/>
      <c r="BA631" s="3"/>
      <c r="BB631" s="3"/>
      <c r="BC631" s="3"/>
      <c r="BD631" s="3"/>
      <c r="BE631" s="1388">
        <f t="shared" si="1"/>
        <v>0</v>
      </c>
      <c r="BF631" s="1390"/>
      <c r="BG631" s="1398">
        <f t="shared" si="2"/>
        <v>0</v>
      </c>
      <c r="BH631" s="1399"/>
      <c r="BI631" s="1388">
        <f t="shared" si="3"/>
        <v>0</v>
      </c>
      <c r="BJ631" s="1390"/>
      <c r="BK631" s="1398">
        <f t="shared" si="4"/>
        <v>0</v>
      </c>
      <c r="BL631" s="1399"/>
      <c r="BM631" s="3"/>
      <c r="BN631" s="1393">
        <f t="shared" si="5"/>
        <v>0</v>
      </c>
      <c r="BO631" s="1394"/>
      <c r="BP631" s="1394"/>
      <c r="BQ631" s="1394"/>
      <c r="BR631" s="1395"/>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593</v>
      </c>
      <c r="C632" s="1710"/>
      <c r="D632" s="1710"/>
      <c r="E632" s="1710"/>
      <c r="F632" s="1710"/>
      <c r="G632" s="1710"/>
      <c r="H632" s="1710"/>
      <c r="I632" s="1710"/>
      <c r="J632" s="1710"/>
      <c r="K632" s="1710"/>
      <c r="L632" s="1710"/>
      <c r="M632" s="1711" t="s">
        <v>1291</v>
      </c>
      <c r="N632" s="1711"/>
      <c r="O632" s="1711"/>
      <c r="P632" s="1711"/>
      <c r="Q632" s="1712"/>
      <c r="R632" s="1561"/>
      <c r="S632" s="1713"/>
      <c r="T632" s="1712"/>
      <c r="U632" s="1561"/>
      <c r="V632" s="1713"/>
      <c r="W632" s="1594"/>
      <c r="X632" s="1595"/>
      <c r="Y632" s="1596"/>
      <c r="Z632" s="1509" t="s">
        <v>1291</v>
      </c>
      <c r="AA632" s="1510"/>
      <c r="AB632" s="1511"/>
      <c r="AC632" s="1406"/>
      <c r="AD632" s="1407"/>
      <c r="AE632" s="1408"/>
      <c r="AF632" s="1588"/>
      <c r="AG632" s="1589"/>
      <c r="AH632" s="1589"/>
      <c r="AI632" s="1589"/>
      <c r="AJ632" s="1590"/>
      <c r="AK632" s="1723"/>
      <c r="AL632" s="1724"/>
      <c r="AM632" s="1724"/>
      <c r="AN632" s="1725"/>
      <c r="AO632" s="1581"/>
      <c r="AP632" s="1582"/>
      <c r="AQ632" s="1582"/>
      <c r="AR632" s="1582"/>
      <c r="AS632" s="1583"/>
      <c r="AT632" s="1192" t="str">
        <f t="shared" si="23"/>
        <v/>
      </c>
      <c r="AU632" s="3"/>
      <c r="AZ632" s="3"/>
      <c r="BA632" s="3"/>
      <c r="BB632" s="3"/>
      <c r="BC632" s="3"/>
      <c r="BD632" s="3"/>
      <c r="BE632" s="3"/>
      <c r="BF632" s="3"/>
      <c r="BG632" s="1388">
        <f>SUM(BG597:BH631)</f>
        <v>65</v>
      </c>
      <c r="BH632" s="1390"/>
      <c r="BI632" s="3"/>
      <c r="BJ632" s="3"/>
      <c r="BK632" s="1388">
        <f>SUM(BK597:BL631)</f>
        <v>11</v>
      </c>
      <c r="BL632" s="1390"/>
      <c r="BM632" s="3"/>
      <c r="BN632" s="1388">
        <f>SUM(BN597:BR631)</f>
        <v>0</v>
      </c>
      <c r="BO632" s="1389"/>
      <c r="BP632" s="1389"/>
      <c r="BQ632" s="1389"/>
      <c r="BR632" s="1390"/>
      <c r="BS632" s="1391">
        <f>SUM(BS597:BW631)</f>
        <v>24</v>
      </c>
      <c r="BT632" s="1391"/>
      <c r="BU632" s="1391"/>
      <c r="BV632" s="1391"/>
      <c r="BW632" s="1391"/>
      <c r="BX632" s="1391">
        <f>SUM(BX597:CB631)</f>
        <v>50</v>
      </c>
      <c r="BY632" s="1391"/>
      <c r="BZ632" s="1391"/>
      <c r="CA632" s="1391"/>
      <c r="CB632" s="1391"/>
      <c r="CC632" s="1391">
        <f>SUM(CC597:CG631)</f>
        <v>25</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3</v>
      </c>
      <c r="CY632" s="1391"/>
      <c r="CZ632" s="1391"/>
      <c r="DA632" s="1391"/>
      <c r="DB632" s="1391"/>
      <c r="DC632" s="1391">
        <f>SUM(DC597:DG631)</f>
        <v>5</v>
      </c>
      <c r="DD632" s="1391"/>
      <c r="DE632" s="1391"/>
      <c r="DF632" s="1391"/>
      <c r="DG632" s="1391"/>
      <c r="DH632" s="1391">
        <f>SUM(DH597:DL631)</f>
        <v>3</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2404</v>
      </c>
      <c r="ED632" s="1391"/>
      <c r="EE632" s="1391"/>
      <c r="EF632" s="1391"/>
      <c r="EG632" s="1391"/>
      <c r="EH632" s="1391">
        <f>SUM(EH597:EL631)</f>
        <v>2802</v>
      </c>
      <c r="EI632" s="1391"/>
      <c r="EJ632" s="1391"/>
      <c r="EK632" s="1391"/>
      <c r="EL632" s="1391"/>
      <c r="EM632" s="1391">
        <f>SUM(EM597:EQ631)</f>
        <v>3164</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710"/>
      <c r="D633" s="1710"/>
      <c r="E633" s="1710"/>
      <c r="F633" s="1710"/>
      <c r="G633" s="1710"/>
      <c r="H633" s="1710"/>
      <c r="I633" s="1710"/>
      <c r="J633" s="1710"/>
      <c r="K633" s="1710"/>
      <c r="L633" s="1710"/>
      <c r="M633" s="1711" t="s">
        <v>1291</v>
      </c>
      <c r="N633" s="1711"/>
      <c r="O633" s="1711"/>
      <c r="P633" s="1711"/>
      <c r="Q633" s="1712"/>
      <c r="R633" s="1561"/>
      <c r="S633" s="1713"/>
      <c r="T633" s="1712"/>
      <c r="U633" s="1561"/>
      <c r="V633" s="1713"/>
      <c r="W633" s="1594"/>
      <c r="X633" s="1595"/>
      <c r="Y633" s="1596"/>
      <c r="Z633" s="1509" t="s">
        <v>1291</v>
      </c>
      <c r="AA633" s="1510"/>
      <c r="AB633" s="1511"/>
      <c r="AC633" s="1406"/>
      <c r="AD633" s="1407"/>
      <c r="AE633" s="1408"/>
      <c r="AF633" s="1588"/>
      <c r="AG633" s="1589"/>
      <c r="AH633" s="1589"/>
      <c r="AI633" s="1589"/>
      <c r="AJ633" s="1590"/>
      <c r="AK633" s="1723"/>
      <c r="AL633" s="1724"/>
      <c r="AM633" s="1724"/>
      <c r="AN633" s="1725"/>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8">
        <f>BN632+BS632+BX632+CC632+CH632+CM632</f>
        <v>99</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710"/>
      <c r="D634" s="1710"/>
      <c r="E634" s="1710"/>
      <c r="F634" s="1710"/>
      <c r="G634" s="1710"/>
      <c r="H634" s="1710"/>
      <c r="I634" s="1710"/>
      <c r="J634" s="1710"/>
      <c r="K634" s="1710"/>
      <c r="L634" s="1710"/>
      <c r="M634" s="1711" t="s">
        <v>1291</v>
      </c>
      <c r="N634" s="1711"/>
      <c r="O634" s="1711"/>
      <c r="P634" s="1711"/>
      <c r="Q634" s="1712"/>
      <c r="R634" s="1561"/>
      <c r="S634" s="1713"/>
      <c r="T634" s="1712"/>
      <c r="U634" s="1561"/>
      <c r="V634" s="1713"/>
      <c r="W634" s="1594"/>
      <c r="X634" s="1595"/>
      <c r="Y634" s="1596"/>
      <c r="Z634" s="1509" t="s">
        <v>1291</v>
      </c>
      <c r="AA634" s="1510"/>
      <c r="AB634" s="1511"/>
      <c r="AC634" s="1406"/>
      <c r="AD634" s="1407"/>
      <c r="AE634" s="1408"/>
      <c r="AF634" s="1588"/>
      <c r="AG634" s="1589"/>
      <c r="AH634" s="1589"/>
      <c r="AI634" s="1589"/>
      <c r="AJ634" s="1590"/>
      <c r="AK634" s="1723"/>
      <c r="AL634" s="1724"/>
      <c r="AM634" s="1724"/>
      <c r="AN634" s="1725"/>
      <c r="AO634" s="1581"/>
      <c r="AP634" s="1582"/>
      <c r="AQ634" s="1582"/>
      <c r="AR634" s="1582"/>
      <c r="AS634" s="158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24</v>
      </c>
      <c r="BX634" s="3"/>
      <c r="BY634" s="3"/>
      <c r="BZ634" s="3"/>
      <c r="CA634" s="3"/>
      <c r="CB634" s="895">
        <f>BX632*2</f>
        <v>100</v>
      </c>
      <c r="CC634" s="3"/>
      <c r="CD634" s="3"/>
      <c r="CE634" s="3"/>
      <c r="CF634" s="3"/>
      <c r="CG634" s="895">
        <f>CC632*3</f>
        <v>75</v>
      </c>
      <c r="CH634" s="3"/>
      <c r="CI634" s="3"/>
      <c r="CJ634" s="3"/>
      <c r="CK634" s="3"/>
      <c r="CL634" s="895">
        <f>CH632*4</f>
        <v>0</v>
      </c>
      <c r="CM634" s="3"/>
      <c r="CN634" s="3"/>
      <c r="CO634" s="3"/>
      <c r="CP634" s="3"/>
      <c r="CQ634" s="895">
        <f>CM632*5</f>
        <v>0</v>
      </c>
      <c r="CS634" s="895">
        <f>BR634+BW634+CB634+CG634+CL634+CQ634</f>
        <v>199</v>
      </c>
      <c r="CT634" s="57" t="s">
        <v>2055</v>
      </c>
      <c r="CU634" s="3"/>
      <c r="CV634" s="3"/>
      <c r="CW634" s="3"/>
      <c r="CX634" s="3"/>
      <c r="CY634" s="3"/>
      <c r="CZ634" s="3"/>
      <c r="DA634" s="3"/>
      <c r="DB634" s="3"/>
      <c r="DC634" s="3"/>
      <c r="DD634" s="3"/>
      <c r="DE634" s="3"/>
      <c r="DF634" s="3"/>
    </row>
    <row r="635" spans="2:157" ht="12.95" customHeight="1">
      <c r="B635" s="52" t="s">
        <v>470</v>
      </c>
      <c r="C635" s="1710"/>
      <c r="D635" s="1710"/>
      <c r="E635" s="1710"/>
      <c r="F635" s="1710"/>
      <c r="G635" s="1710"/>
      <c r="H635" s="1710"/>
      <c r="I635" s="1710"/>
      <c r="J635" s="1710"/>
      <c r="K635" s="1710"/>
      <c r="L635" s="1710"/>
      <c r="M635" s="1711" t="s">
        <v>1291</v>
      </c>
      <c r="N635" s="1711"/>
      <c r="O635" s="1711"/>
      <c r="P635" s="1711"/>
      <c r="Q635" s="1712"/>
      <c r="R635" s="1561"/>
      <c r="S635" s="1713"/>
      <c r="T635" s="1712"/>
      <c r="U635" s="1561"/>
      <c r="V635" s="1713"/>
      <c r="W635" s="1594"/>
      <c r="X635" s="1595"/>
      <c r="Y635" s="1596"/>
      <c r="Z635" s="1509" t="s">
        <v>1291</v>
      </c>
      <c r="AA635" s="1510"/>
      <c r="AB635" s="1511"/>
      <c r="AC635" s="1406"/>
      <c r="AD635" s="1407"/>
      <c r="AE635" s="1408"/>
      <c r="AF635" s="1588"/>
      <c r="AG635" s="1589"/>
      <c r="AH635" s="1589"/>
      <c r="AI635" s="1589"/>
      <c r="AJ635" s="1590"/>
      <c r="AK635" s="1723"/>
      <c r="AL635" s="1724"/>
      <c r="AM635" s="1724"/>
      <c r="AN635" s="1725"/>
      <c r="AO635" s="1581"/>
      <c r="AP635" s="1582"/>
      <c r="AQ635" s="1582"/>
      <c r="AR635" s="1582"/>
      <c r="AS635" s="158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44.25</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2.95" customHeight="1">
      <c r="B636" s="52" t="s">
        <v>655</v>
      </c>
      <c r="C636" s="1710"/>
      <c r="D636" s="1710"/>
      <c r="E636" s="1710"/>
      <c r="F636" s="1710"/>
      <c r="G636" s="1710"/>
      <c r="H636" s="1710"/>
      <c r="I636" s="1710"/>
      <c r="J636" s="1710"/>
      <c r="K636" s="1710"/>
      <c r="L636" s="1710"/>
      <c r="M636" s="1711" t="s">
        <v>1291</v>
      </c>
      <c r="N636" s="1711"/>
      <c r="O636" s="1711"/>
      <c r="P636" s="1711"/>
      <c r="Q636" s="1712"/>
      <c r="R636" s="1561"/>
      <c r="S636" s="1713"/>
      <c r="T636" s="1712"/>
      <c r="U636" s="1561"/>
      <c r="V636" s="1713"/>
      <c r="W636" s="1594"/>
      <c r="X636" s="1595"/>
      <c r="Y636" s="1596"/>
      <c r="Z636" s="1509" t="s">
        <v>1291</v>
      </c>
      <c r="AA636" s="1510"/>
      <c r="AB636" s="1511"/>
      <c r="AC636" s="1406"/>
      <c r="AD636" s="1407"/>
      <c r="AE636" s="1408"/>
      <c r="AF636" s="1588"/>
      <c r="AG636" s="1589"/>
      <c r="AH636" s="1589"/>
      <c r="AI636" s="1589"/>
      <c r="AJ636" s="1590"/>
      <c r="AK636" s="1723"/>
      <c r="AL636" s="1724"/>
      <c r="AM636" s="1724"/>
      <c r="AN636" s="1725"/>
      <c r="AO636" s="1581"/>
      <c r="AP636" s="1582"/>
      <c r="AQ636" s="1582"/>
      <c r="AR636" s="1582"/>
      <c r="AS636" s="158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t="e">
        <f t="shared" si="24"/>
        <v>#VALUE!</v>
      </c>
      <c r="ED636" s="1361"/>
      <c r="EE636" s="1361"/>
      <c r="EF636" s="1361"/>
      <c r="EG636" s="1361"/>
      <c r="EH636" s="1361">
        <f t="shared" si="25"/>
        <v>40.400000000000006</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2.95" customHeight="1">
      <c r="B637" s="52" t="s">
        <v>363</v>
      </c>
      <c r="C637" s="1710"/>
      <c r="D637" s="1710"/>
      <c r="E637" s="1710"/>
      <c r="F637" s="1710"/>
      <c r="G637" s="1710"/>
      <c r="H637" s="1710"/>
      <c r="I637" s="1710"/>
      <c r="J637" s="1710"/>
      <c r="K637" s="1710"/>
      <c r="L637" s="1710"/>
      <c r="M637" s="1711" t="s">
        <v>1291</v>
      </c>
      <c r="N637" s="1711"/>
      <c r="O637" s="1711"/>
      <c r="P637" s="1711"/>
      <c r="Q637" s="1712"/>
      <c r="R637" s="1561"/>
      <c r="S637" s="1713"/>
      <c r="T637" s="1712"/>
      <c r="U637" s="1561"/>
      <c r="V637" s="1713"/>
      <c r="W637" s="1594"/>
      <c r="X637" s="1595"/>
      <c r="Y637" s="1596"/>
      <c r="Z637" s="1509" t="s">
        <v>1291</v>
      </c>
      <c r="AA637" s="1510"/>
      <c r="AB637" s="1511"/>
      <c r="AC637" s="1406"/>
      <c r="AD637" s="1407"/>
      <c r="AE637" s="1408"/>
      <c r="AF637" s="1588"/>
      <c r="AG637" s="1589"/>
      <c r="AH637" s="1589"/>
      <c r="AI637" s="1589"/>
      <c r="AJ637" s="1590"/>
      <c r="AK637" s="1723"/>
      <c r="AL637" s="1724"/>
      <c r="AM637" s="1724"/>
      <c r="AN637" s="1725"/>
      <c r="AO637" s="1581"/>
      <c r="AP637" s="1582"/>
      <c r="AQ637" s="1582"/>
      <c r="AR637" s="1582"/>
      <c r="AS637" s="1583"/>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3">
        <f>IF(J773="SRO/Studio",O773,0)</f>
        <v>0</v>
      </c>
      <c r="BO637" s="1394"/>
      <c r="BP637" s="1394"/>
      <c r="BQ637" s="1394"/>
      <c r="BR637" s="1395"/>
      <c r="BS637" s="1396">
        <f>IF(J773="1 Bedroom",O773,0)</f>
        <v>0</v>
      </c>
      <c r="BT637" s="1396"/>
      <c r="BU637" s="1396"/>
      <c r="BV637" s="1396"/>
      <c r="BW637" s="1396"/>
      <c r="BX637" s="1396">
        <f>IF(J773="2 Bedrooms",O773,0)</f>
        <v>0</v>
      </c>
      <c r="BY637" s="1396"/>
      <c r="BZ637" s="1396"/>
      <c r="CA637" s="1396"/>
      <c r="CB637" s="1396"/>
      <c r="CC637" s="1396">
        <f>IF(J773="3 Bedrooms",O773,0)</f>
        <v>1</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t="e">
        <f t="shared" si="24"/>
        <v>#VALUE!</v>
      </c>
      <c r="ED637" s="1361"/>
      <c r="EE637" s="1361"/>
      <c r="EF637" s="1361"/>
      <c r="EG637" s="1361"/>
      <c r="EH637" s="1361" t="e">
        <f t="shared" si="25"/>
        <v>#VALUE!</v>
      </c>
      <c r="EI637" s="1361"/>
      <c r="EJ637" s="1361"/>
      <c r="EK637" s="1361"/>
      <c r="EL637" s="1361"/>
      <c r="EM637" s="1361">
        <f t="shared" si="26"/>
        <v>53.879999999999995</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2.95" customHeight="1">
      <c r="B638" s="52" t="s">
        <v>364</v>
      </c>
      <c r="C638" s="1710"/>
      <c r="D638" s="1710"/>
      <c r="E638" s="1710"/>
      <c r="F638" s="1710"/>
      <c r="G638" s="1710"/>
      <c r="H638" s="1710"/>
      <c r="I638" s="1710"/>
      <c r="J638" s="1710"/>
      <c r="K638" s="1710"/>
      <c r="L638" s="1710"/>
      <c r="M638" s="1711" t="s">
        <v>1291</v>
      </c>
      <c r="N638" s="1711"/>
      <c r="O638" s="1711"/>
      <c r="P638" s="1711"/>
      <c r="Q638" s="1712"/>
      <c r="R638" s="1561"/>
      <c r="S638" s="1713"/>
      <c r="T638" s="1712"/>
      <c r="U638" s="1561"/>
      <c r="V638" s="1713"/>
      <c r="W638" s="1594"/>
      <c r="X638" s="1595"/>
      <c r="Y638" s="1596"/>
      <c r="Z638" s="1509" t="s">
        <v>1291</v>
      </c>
      <c r="AA638" s="1510"/>
      <c r="AB638" s="1511"/>
      <c r="AC638" s="1406"/>
      <c r="AD638" s="1407"/>
      <c r="AE638" s="1408"/>
      <c r="AF638" s="1588"/>
      <c r="AG638" s="1589"/>
      <c r="AH638" s="1589"/>
      <c r="AI638" s="1589"/>
      <c r="AJ638" s="1590"/>
      <c r="AK638" s="1723"/>
      <c r="AL638" s="1724"/>
      <c r="AM638" s="1724"/>
      <c r="AN638" s="1725"/>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f t="shared" si="24"/>
        <v>129.75</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2.95"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635">
        <f>SUM(AO627:AR638)</f>
        <v>42989957</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f t="shared" si="25"/>
        <v>156.52000000000001</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2.95"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81">
        <v>31574537</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61" t="e">
        <f t="shared" si="29"/>
        <v>#VALUE!</v>
      </c>
      <c r="DY640" s="1361"/>
      <c r="DZ640" s="1361"/>
      <c r="EA640" s="1361"/>
      <c r="EB640" s="1361"/>
      <c r="EC640" s="1361" t="e">
        <f t="shared" si="24"/>
        <v>#VALUE!</v>
      </c>
      <c r="ED640" s="1361"/>
      <c r="EE640" s="1361"/>
      <c r="EF640" s="1361"/>
      <c r="EG640" s="1361"/>
      <c r="EH640" s="1361" t="e">
        <f t="shared" si="25"/>
        <v>#VALUE!</v>
      </c>
      <c r="EI640" s="1361"/>
      <c r="EJ640" s="1361"/>
      <c r="EK640" s="1361"/>
      <c r="EL640" s="1361"/>
      <c r="EM640" s="1361">
        <f t="shared" si="26"/>
        <v>162.47999999999999</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B641" s="1591" t="s">
        <v>269</v>
      </c>
      <c r="C641" s="1592"/>
      <c r="D641" s="1592"/>
      <c r="E641" s="1592"/>
      <c r="F641" s="1592"/>
      <c r="G641" s="1592"/>
      <c r="H641" s="1592"/>
      <c r="I641" s="1592"/>
      <c r="J641" s="1592"/>
      <c r="K641" s="1592"/>
      <c r="L641" s="1592"/>
      <c r="M641" s="1592"/>
      <c r="N641" s="1592"/>
      <c r="O641" s="1592"/>
      <c r="P641" s="1592"/>
      <c r="Q641" s="1592"/>
      <c r="R641" s="1592"/>
      <c r="S641" s="1592"/>
      <c r="T641" s="1592"/>
      <c r="U641" s="1592"/>
      <c r="V641" s="1592"/>
      <c r="W641" s="1592"/>
      <c r="X641" s="1592"/>
      <c r="Y641" s="1592"/>
      <c r="Z641" s="1592"/>
      <c r="AA641" s="1592"/>
      <c r="AB641" s="1592"/>
      <c r="AC641" s="1592"/>
      <c r="AD641" s="1592"/>
      <c r="AE641" s="1592"/>
      <c r="AF641" s="1592"/>
      <c r="AG641" s="1592"/>
      <c r="AH641" s="1592"/>
      <c r="AI641" s="1592"/>
      <c r="AJ641" s="1592"/>
      <c r="AK641" s="1592"/>
      <c r="AL641" s="1592"/>
      <c r="AM641" s="1592"/>
      <c r="AN641" s="1593"/>
      <c r="AO641" s="1635">
        <f>AO639+AO640</f>
        <v>74564494</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08"/>
      <c r="BP641" s="1508"/>
      <c r="BQ641" s="1508"/>
      <c r="BR641" s="1399"/>
      <c r="BS641" s="1727">
        <f>SUM(BS637:BW640)</f>
        <v>0</v>
      </c>
      <c r="BT641" s="1728"/>
      <c r="BU641" s="1728"/>
      <c r="BV641" s="1728"/>
      <c r="BW641" s="1729"/>
      <c r="BX641" s="1727">
        <f>SUM(BX637:CB640)</f>
        <v>0</v>
      </c>
      <c r="BY641" s="1728"/>
      <c r="BZ641" s="1728"/>
      <c r="CA641" s="1728"/>
      <c r="CB641" s="1729"/>
      <c r="CC641" s="1727">
        <f>SUM(CC637:CG640)</f>
        <v>1</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1</v>
      </c>
      <c r="CT641" s="57" t="s">
        <v>2052</v>
      </c>
      <c r="CU641" s="3"/>
      <c r="CV641" s="3"/>
      <c r="CW641" s="3"/>
      <c r="CX641" s="3"/>
      <c r="CY641" s="3"/>
      <c r="CZ641" s="3"/>
      <c r="DA641" s="3"/>
      <c r="DB641" s="3"/>
      <c r="DC641" s="3"/>
      <c r="DD641" s="3"/>
      <c r="DE641" s="3"/>
      <c r="DF641" s="3"/>
      <c r="DX641" s="1361" t="e">
        <f t="shared" si="29"/>
        <v>#VALUE!</v>
      </c>
      <c r="DY641" s="1361"/>
      <c r="DZ641" s="1361"/>
      <c r="EA641" s="1361"/>
      <c r="EB641" s="1361"/>
      <c r="EC641" s="1361">
        <f t="shared" si="24"/>
        <v>256.125</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f t="shared" si="25"/>
        <v>335.58</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55" t="s">
        <v>112</v>
      </c>
      <c r="B643" t="s">
        <v>472</v>
      </c>
      <c r="G643" s="1507" t="str">
        <f>C627</f>
        <v>HCD-Infill Infrastructure Grant Program</v>
      </c>
      <c r="H643" s="1507"/>
      <c r="I643" s="1507"/>
      <c r="J643" s="1507"/>
      <c r="K643" s="1507"/>
      <c r="L643" s="1507"/>
      <c r="M643" s="1507"/>
      <c r="N643" s="1507"/>
      <c r="O643" s="1507"/>
      <c r="P643" s="1507"/>
      <c r="Q643" s="1507"/>
      <c r="R643" s="1507"/>
      <c r="S643" s="8"/>
      <c r="T643" s="55" t="s">
        <v>113</v>
      </c>
      <c r="U643" t="s">
        <v>472</v>
      </c>
      <c r="Z643" s="1507" t="str">
        <f>C628</f>
        <v xml:space="preserve">HCD-Joe Serna Jr. FWHG </v>
      </c>
      <c r="AA643" s="1507"/>
      <c r="AB643" s="1507"/>
      <c r="AC643" s="1507"/>
      <c r="AD643" s="1507"/>
      <c r="AE643" s="1507"/>
      <c r="AF643" s="1507"/>
      <c r="AG643" s="1507"/>
      <c r="AH643" s="1507"/>
      <c r="AI643" s="1507"/>
      <c r="AJ643" s="1507"/>
      <c r="AK643" s="150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f t="shared" si="26"/>
        <v>362</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2"/>
      <c r="B644" t="s">
        <v>85</v>
      </c>
      <c r="G644" s="1384" t="s">
        <v>2762</v>
      </c>
      <c r="H644" s="1384"/>
      <c r="I644" s="1384"/>
      <c r="J644" s="1384"/>
      <c r="K644" s="1384"/>
      <c r="L644" s="1384"/>
      <c r="M644" s="1384"/>
      <c r="N644" s="1384"/>
      <c r="O644" s="1384"/>
      <c r="P644" s="1384"/>
      <c r="Q644" s="1384"/>
      <c r="R644" s="1384"/>
      <c r="S644" s="8"/>
      <c r="T644" s="22"/>
      <c r="U644" t="s">
        <v>85</v>
      </c>
      <c r="Z644" s="1384" t="str">
        <f>+G644</f>
        <v>2020 W. El Camino Ave, Suite 670</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1" t="e">
        <f t="shared" si="29"/>
        <v>#VALUE!</v>
      </c>
      <c r="DY644" s="1361"/>
      <c r="DZ644" s="1361"/>
      <c r="EA644" s="1361"/>
      <c r="EB644" s="1361"/>
      <c r="EC644" s="1361">
        <f t="shared" si="24"/>
        <v>212</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2"/>
      <c r="B645" t="s">
        <v>589</v>
      </c>
      <c r="G645" s="1384" t="s">
        <v>2750</v>
      </c>
      <c r="H645" s="1384"/>
      <c r="I645" s="1384"/>
      <c r="J645" s="1384"/>
      <c r="K645" s="1384"/>
      <c r="L645" s="1384"/>
      <c r="M645" s="1384"/>
      <c r="N645" s="1384"/>
      <c r="O645" s="1384"/>
      <c r="P645" s="1384"/>
      <c r="Q645" s="1384"/>
      <c r="R645" s="1384"/>
      <c r="T645" s="22"/>
      <c r="U645" t="s">
        <v>589</v>
      </c>
      <c r="Z645" s="1454" t="str">
        <f>+G645</f>
        <v xml:space="preserve">Sacramento </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6">
        <f t="shared" ref="BS645:BS654" si="31">IF(J787="1 Bedroom",O787,0)</f>
        <v>0</v>
      </c>
      <c r="BT645" s="1396"/>
      <c r="BU645" s="1396"/>
      <c r="BV645" s="1396"/>
      <c r="BW645" s="1396"/>
      <c r="BX645" s="1396">
        <f t="shared" ref="BX645:BX654" si="32">IF(J787="2 Bedrooms",O787,0)</f>
        <v>0</v>
      </c>
      <c r="BY645" s="1396"/>
      <c r="BZ645" s="1396"/>
      <c r="CA645" s="1396"/>
      <c r="CB645" s="1396"/>
      <c r="CC645" s="1396">
        <f t="shared" ref="CC645:CC654" si="33">IF(J787="3 Bedrooms",O787,0)</f>
        <v>0</v>
      </c>
      <c r="CD645" s="1396"/>
      <c r="CE645" s="1396"/>
      <c r="CF645" s="1396"/>
      <c r="CG645" s="1396"/>
      <c r="CH645" s="1396">
        <f t="shared" ref="CH645:CH654" si="34">IF(J787="4 Bedrooms",O787,0)</f>
        <v>0</v>
      </c>
      <c r="CI645" s="1396"/>
      <c r="CJ645" s="1396"/>
      <c r="CK645" s="1396"/>
      <c r="CL645" s="1396"/>
      <c r="CM645" s="1396">
        <f t="shared" ref="CM645:CM654" si="35">IF(J787="5 Bedrooms",O787,0)</f>
        <v>0</v>
      </c>
      <c r="CN645" s="1396"/>
      <c r="CO645" s="1396"/>
      <c r="CP645" s="1396"/>
      <c r="CQ645" s="1396"/>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61" t="e">
        <f t="shared" si="29"/>
        <v>#VALUE!</v>
      </c>
      <c r="DY645" s="1361"/>
      <c r="DZ645" s="1361"/>
      <c r="EA645" s="1361"/>
      <c r="EB645" s="1361"/>
      <c r="EC645" s="1361" t="e">
        <f t="shared" si="24"/>
        <v>#VALUE!</v>
      </c>
      <c r="ED645" s="1361"/>
      <c r="EE645" s="1361"/>
      <c r="EF645" s="1361"/>
      <c r="EG645" s="1361"/>
      <c r="EH645" s="1361">
        <f t="shared" si="25"/>
        <v>219.34</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2"/>
      <c r="B646" t="s">
        <v>17</v>
      </c>
      <c r="G646" s="1384" t="s">
        <v>2751</v>
      </c>
      <c r="H646" s="1384"/>
      <c r="I646" s="1384"/>
      <c r="J646" s="1384"/>
      <c r="K646" s="1384"/>
      <c r="L646" s="1384"/>
      <c r="M646" s="1384"/>
      <c r="N646" s="1384"/>
      <c r="O646" s="1384"/>
      <c r="P646" s="1384"/>
      <c r="Q646" s="1384"/>
      <c r="R646" s="1384"/>
      <c r="S646" s="8"/>
      <c r="T646" s="22"/>
      <c r="U646" t="s">
        <v>17</v>
      </c>
      <c r="Z646" s="1454" t="str">
        <f>+G646</f>
        <v xml:space="preserve">Melissa Harty-Swaleh </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393">
        <f t="shared" si="30"/>
        <v>0</v>
      </c>
      <c r="BO646" s="1394"/>
      <c r="BP646" s="1394"/>
      <c r="BQ646" s="1394"/>
      <c r="BR646" s="1395"/>
      <c r="BS646" s="1396">
        <f t="shared" si="31"/>
        <v>0</v>
      </c>
      <c r="BT646" s="1396"/>
      <c r="BU646" s="1396"/>
      <c r="BV646" s="1396"/>
      <c r="BW646" s="1396"/>
      <c r="BX646" s="1396">
        <f t="shared" si="32"/>
        <v>0</v>
      </c>
      <c r="BY646" s="1396"/>
      <c r="BZ646" s="1396"/>
      <c r="CA646" s="1396"/>
      <c r="CB646" s="1396"/>
      <c r="CC646" s="1396">
        <f t="shared" si="33"/>
        <v>0</v>
      </c>
      <c r="CD646" s="1396"/>
      <c r="CE646" s="1396"/>
      <c r="CF646" s="1396"/>
      <c r="CG646" s="1396"/>
      <c r="CH646" s="1396">
        <f t="shared" si="34"/>
        <v>0</v>
      </c>
      <c r="CI646" s="1396"/>
      <c r="CJ646" s="1396"/>
      <c r="CK646" s="1396"/>
      <c r="CL646" s="1396"/>
      <c r="CM646" s="1396">
        <f t="shared" si="35"/>
        <v>0</v>
      </c>
      <c r="CN646" s="1396"/>
      <c r="CO646" s="1396"/>
      <c r="CP646" s="1396"/>
      <c r="CQ646" s="1396"/>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f t="shared" si="26"/>
        <v>271.92</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22"/>
      <c r="B647" t="s">
        <v>317</v>
      </c>
      <c r="G647" s="1386" t="s">
        <v>2755</v>
      </c>
      <c r="H647" s="1386"/>
      <c r="I647" s="1386"/>
      <c r="J647" s="1386"/>
      <c r="K647" s="1386"/>
      <c r="L647" s="1386"/>
      <c r="O647" s="33" t="s">
        <v>207</v>
      </c>
      <c r="P647" s="1385"/>
      <c r="Q647" s="1385"/>
      <c r="R647" s="1385"/>
      <c r="S647" s="10"/>
      <c r="T647" s="22"/>
      <c r="U647" t="s">
        <v>317</v>
      </c>
      <c r="Z647" s="1386" t="str">
        <f>+G647</f>
        <v>916-263-2771</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6">
        <f t="shared" si="31"/>
        <v>0</v>
      </c>
      <c r="BT647" s="1396"/>
      <c r="BU647" s="1396"/>
      <c r="BV647" s="1396"/>
      <c r="BW647" s="1396"/>
      <c r="BX647" s="1396">
        <f t="shared" si="32"/>
        <v>0</v>
      </c>
      <c r="BY647" s="1396"/>
      <c r="BZ647" s="1396"/>
      <c r="CA647" s="1396"/>
      <c r="CB647" s="1396"/>
      <c r="CC647" s="1396">
        <f t="shared" si="33"/>
        <v>0</v>
      </c>
      <c r="CD647" s="1396"/>
      <c r="CE647" s="1396"/>
      <c r="CF647" s="1396"/>
      <c r="CG647" s="1396"/>
      <c r="CH647" s="1396">
        <f t="shared" si="34"/>
        <v>0</v>
      </c>
      <c r="CI647" s="1396"/>
      <c r="CJ647" s="1396"/>
      <c r="CK647" s="1396"/>
      <c r="CL647" s="1396"/>
      <c r="CM647" s="1396">
        <f t="shared" si="35"/>
        <v>0</v>
      </c>
      <c r="CN647" s="1396"/>
      <c r="CO647" s="1396"/>
      <c r="CP647" s="1396"/>
      <c r="CQ647" s="1396"/>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2"/>
      <c r="B648" t="s">
        <v>18</v>
      </c>
      <c r="H648" s="1524" t="s">
        <v>2433</v>
      </c>
      <c r="I648" s="1384"/>
      <c r="J648" s="1384"/>
      <c r="K648" s="1384"/>
      <c r="L648" s="1384"/>
      <c r="M648" s="1384"/>
      <c r="N648" s="1384"/>
      <c r="O648" s="1384"/>
      <c r="P648" s="1384"/>
      <c r="Q648" s="1384"/>
      <c r="R648" s="1384"/>
      <c r="S648" s="8"/>
      <c r="T648" s="22"/>
      <c r="U648" t="s">
        <v>18</v>
      </c>
      <c r="AA648" s="1384" t="s">
        <v>2763</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6">
        <f t="shared" si="31"/>
        <v>0</v>
      </c>
      <c r="BT648" s="1396"/>
      <c r="BU648" s="1396"/>
      <c r="BV648" s="1396"/>
      <c r="BW648" s="1396"/>
      <c r="BX648" s="1396">
        <f t="shared" si="32"/>
        <v>0</v>
      </c>
      <c r="BY648" s="1396"/>
      <c r="BZ648" s="1396"/>
      <c r="CA648" s="1396"/>
      <c r="CB648" s="1396"/>
      <c r="CC648" s="1396">
        <f t="shared" si="33"/>
        <v>0</v>
      </c>
      <c r="CD648" s="1396"/>
      <c r="CE648" s="1396"/>
      <c r="CF648" s="1396"/>
      <c r="CG648" s="1396"/>
      <c r="CH648" s="1396">
        <f t="shared" si="34"/>
        <v>0</v>
      </c>
      <c r="CI648" s="1396"/>
      <c r="CJ648" s="1396"/>
      <c r="CK648" s="1396"/>
      <c r="CL648" s="1396"/>
      <c r="CM648" s="1396">
        <f t="shared" si="35"/>
        <v>0</v>
      </c>
      <c r="CN648" s="1396"/>
      <c r="CO648" s="1396"/>
      <c r="CP648" s="1396"/>
      <c r="CQ648" s="1396"/>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6">
        <f t="shared" si="31"/>
        <v>0</v>
      </c>
      <c r="BT649" s="1396"/>
      <c r="BU649" s="1396"/>
      <c r="BV649" s="1396"/>
      <c r="BW649" s="1396"/>
      <c r="BX649" s="1396">
        <f t="shared" si="32"/>
        <v>0</v>
      </c>
      <c r="BY649" s="1396"/>
      <c r="BZ649" s="1396"/>
      <c r="CA649" s="1396"/>
      <c r="CB649" s="1396"/>
      <c r="CC649" s="1396">
        <f t="shared" si="33"/>
        <v>0</v>
      </c>
      <c r="CD649" s="1396"/>
      <c r="CE649" s="1396"/>
      <c r="CF649" s="1396"/>
      <c r="CG649" s="1396"/>
      <c r="CH649" s="1396">
        <f t="shared" si="34"/>
        <v>0</v>
      </c>
      <c r="CI649" s="1396"/>
      <c r="CJ649" s="1396"/>
      <c r="CK649" s="1396"/>
      <c r="CL649" s="1396"/>
      <c r="CM649" s="1396">
        <f t="shared" si="35"/>
        <v>0</v>
      </c>
      <c r="CN649" s="1396"/>
      <c r="CO649" s="1396"/>
      <c r="CP649" s="1396"/>
      <c r="CQ649" s="1396"/>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6">
        <f t="shared" si="31"/>
        <v>0</v>
      </c>
      <c r="BT650" s="1396"/>
      <c r="BU650" s="1396"/>
      <c r="BV650" s="1396"/>
      <c r="BW650" s="1396"/>
      <c r="BX650" s="1396">
        <f t="shared" si="32"/>
        <v>0</v>
      </c>
      <c r="BY650" s="1396"/>
      <c r="BZ650" s="1396"/>
      <c r="CA650" s="1396"/>
      <c r="CB650" s="1396"/>
      <c r="CC650" s="1396">
        <f t="shared" si="33"/>
        <v>0</v>
      </c>
      <c r="CD650" s="1396"/>
      <c r="CE650" s="1396"/>
      <c r="CF650" s="1396"/>
      <c r="CG650" s="1396"/>
      <c r="CH650" s="1396">
        <f t="shared" si="34"/>
        <v>0</v>
      </c>
      <c r="CI650" s="1396"/>
      <c r="CJ650" s="1396"/>
      <c r="CK650" s="1396"/>
      <c r="CL650" s="1396"/>
      <c r="CM650" s="1396">
        <f t="shared" si="35"/>
        <v>0</v>
      </c>
      <c r="CN650" s="1396"/>
      <c r="CO650" s="1396"/>
      <c r="CP650" s="1396"/>
      <c r="CQ650" s="1396"/>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2.95" customHeight="1">
      <c r="A651" s="55" t="s">
        <v>119</v>
      </c>
      <c r="B651" t="s">
        <v>472</v>
      </c>
      <c r="G651" s="1507" t="str">
        <f>C629</f>
        <v xml:space="preserve">HCD-Multifamily Housing Program </v>
      </c>
      <c r="H651" s="1507"/>
      <c r="I651" s="1507"/>
      <c r="J651" s="1507"/>
      <c r="K651" s="1507"/>
      <c r="L651" s="1507"/>
      <c r="M651" s="1507"/>
      <c r="N651" s="1507"/>
      <c r="O651" s="1507"/>
      <c r="P651" s="1507"/>
      <c r="Q651" s="1507"/>
      <c r="R651" s="1507"/>
      <c r="T651" s="55" t="s">
        <v>590</v>
      </c>
      <c r="U651" t="s">
        <v>472</v>
      </c>
      <c r="Z651" s="1507" t="str">
        <f>C630</f>
        <v xml:space="preserve">Deferred Developer Fees </v>
      </c>
      <c r="AA651" s="1507"/>
      <c r="AB651" s="1507"/>
      <c r="AC651" s="1507"/>
      <c r="AD651" s="1507"/>
      <c r="AE651" s="1507"/>
      <c r="AF651" s="1507"/>
      <c r="AG651" s="1507"/>
      <c r="AH651" s="1507"/>
      <c r="AI651" s="1507"/>
      <c r="AJ651" s="1507"/>
      <c r="AK651" s="1507"/>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6">
        <f t="shared" si="31"/>
        <v>0</v>
      </c>
      <c r="BT651" s="1396"/>
      <c r="BU651" s="1396"/>
      <c r="BV651" s="1396"/>
      <c r="BW651" s="1396"/>
      <c r="BX651" s="1396">
        <f t="shared" si="32"/>
        <v>0</v>
      </c>
      <c r="BY651" s="1396"/>
      <c r="BZ651" s="1396"/>
      <c r="CA651" s="1396"/>
      <c r="CB651" s="1396"/>
      <c r="CC651" s="1396">
        <f t="shared" si="33"/>
        <v>0</v>
      </c>
      <c r="CD651" s="1396"/>
      <c r="CE651" s="1396"/>
      <c r="CF651" s="1396"/>
      <c r="CG651" s="1396"/>
      <c r="CH651" s="1396">
        <f t="shared" si="34"/>
        <v>0</v>
      </c>
      <c r="CI651" s="1396"/>
      <c r="CJ651" s="1396"/>
      <c r="CK651" s="1396"/>
      <c r="CL651" s="1396"/>
      <c r="CM651" s="1396">
        <f t="shared" si="35"/>
        <v>0</v>
      </c>
      <c r="CN651" s="1396"/>
      <c r="CO651" s="1396"/>
      <c r="CP651" s="1396"/>
      <c r="CQ651" s="1396"/>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2.95" customHeight="1">
      <c r="A652" s="22"/>
      <c r="B652" t="s">
        <v>85</v>
      </c>
      <c r="G652" s="1384" t="str">
        <f>+Z644</f>
        <v>2020 W. El Camino Ave, Suite 670</v>
      </c>
      <c r="H652" s="1384"/>
      <c r="I652" s="1384"/>
      <c r="J652" s="1384"/>
      <c r="K652" s="1384"/>
      <c r="L652" s="1384"/>
      <c r="M652" s="1384"/>
      <c r="N652" s="1384"/>
      <c r="O652" s="1384"/>
      <c r="P652" s="1384"/>
      <c r="Q652" s="1384"/>
      <c r="R652" s="1384"/>
      <c r="T652" s="22"/>
      <c r="U652" t="s">
        <v>85</v>
      </c>
      <c r="Z652" s="1384" t="s">
        <v>2752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6">
        <f t="shared" si="31"/>
        <v>0</v>
      </c>
      <c r="BT652" s="1396"/>
      <c r="BU652" s="1396"/>
      <c r="BV652" s="1396"/>
      <c r="BW652" s="1396"/>
      <c r="BX652" s="1396">
        <f t="shared" si="32"/>
        <v>0</v>
      </c>
      <c r="BY652" s="1396"/>
      <c r="BZ652" s="1396"/>
      <c r="CA652" s="1396"/>
      <c r="CB652" s="1396"/>
      <c r="CC652" s="1396">
        <f t="shared" si="33"/>
        <v>0</v>
      </c>
      <c r="CD652" s="1396"/>
      <c r="CE652" s="1396"/>
      <c r="CF652" s="1396"/>
      <c r="CG652" s="1396"/>
      <c r="CH652" s="1396">
        <f t="shared" si="34"/>
        <v>0</v>
      </c>
      <c r="CI652" s="1396"/>
      <c r="CJ652" s="1396"/>
      <c r="CK652" s="1396"/>
      <c r="CL652" s="1396"/>
      <c r="CM652" s="1396">
        <f t="shared" si="35"/>
        <v>0</v>
      </c>
      <c r="CN652" s="1396"/>
      <c r="CO652" s="1396"/>
      <c r="CP652" s="1396"/>
      <c r="CQ652" s="1396"/>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2.95" customHeight="1">
      <c r="A653" s="22"/>
      <c r="B653" t="s">
        <v>589</v>
      </c>
      <c r="G653" s="1454" t="str">
        <f>+Z645</f>
        <v xml:space="preserve">Sacramento </v>
      </c>
      <c r="H653" s="1454"/>
      <c r="I653" s="1454"/>
      <c r="J653" s="1454"/>
      <c r="K653" s="1454"/>
      <c r="L653" s="1454"/>
      <c r="M653" s="1454"/>
      <c r="N653" s="1454"/>
      <c r="O653" s="1454"/>
      <c r="P653" s="1454"/>
      <c r="Q653" s="1454"/>
      <c r="R653" s="1454"/>
      <c r="T653" s="22"/>
      <c r="U653" t="s">
        <v>589</v>
      </c>
      <c r="Z653" s="1454" t="s">
        <v>2753</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6">
        <f t="shared" si="31"/>
        <v>0</v>
      </c>
      <c r="BT653" s="1396"/>
      <c r="BU653" s="1396"/>
      <c r="BV653" s="1396"/>
      <c r="BW653" s="1396"/>
      <c r="BX653" s="1396">
        <f t="shared" si="32"/>
        <v>0</v>
      </c>
      <c r="BY653" s="1396"/>
      <c r="BZ653" s="1396"/>
      <c r="CA653" s="1396"/>
      <c r="CB653" s="1396"/>
      <c r="CC653" s="1396">
        <f t="shared" si="33"/>
        <v>0</v>
      </c>
      <c r="CD653" s="1396"/>
      <c r="CE653" s="1396"/>
      <c r="CF653" s="1396"/>
      <c r="CG653" s="1396"/>
      <c r="CH653" s="1396">
        <f t="shared" si="34"/>
        <v>0</v>
      </c>
      <c r="CI653" s="1396"/>
      <c r="CJ653" s="1396"/>
      <c r="CK653" s="1396"/>
      <c r="CL653" s="1396"/>
      <c r="CM653" s="1396">
        <f t="shared" si="35"/>
        <v>0</v>
      </c>
      <c r="CN653" s="1396"/>
      <c r="CO653" s="1396"/>
      <c r="CP653" s="1396"/>
      <c r="CQ653" s="1396"/>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2.95" customHeight="1">
      <c r="A654" s="22"/>
      <c r="B654" t="s">
        <v>17</v>
      </c>
      <c r="G654" s="1454" t="str">
        <f>+Z646</f>
        <v xml:space="preserve">Melissa Harty-Swaleh </v>
      </c>
      <c r="H654" s="1454"/>
      <c r="I654" s="1454"/>
      <c r="J654" s="1454"/>
      <c r="K654" s="1454"/>
      <c r="L654" s="1454"/>
      <c r="M654" s="1454"/>
      <c r="N654" s="1454"/>
      <c r="O654" s="1454"/>
      <c r="P654" s="1454"/>
      <c r="Q654" s="1454"/>
      <c r="R654" s="1454"/>
      <c r="T654" s="22"/>
      <c r="U654" t="s">
        <v>17</v>
      </c>
      <c r="Z654" s="1454" t="s">
        <v>2661</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6">
        <f t="shared" si="31"/>
        <v>0</v>
      </c>
      <c r="BT654" s="1396"/>
      <c r="BU654" s="1396"/>
      <c r="BV654" s="1396"/>
      <c r="BW654" s="1396"/>
      <c r="BX654" s="1396">
        <f t="shared" si="32"/>
        <v>0</v>
      </c>
      <c r="BY654" s="1396"/>
      <c r="BZ654" s="1396"/>
      <c r="CA654" s="1396"/>
      <c r="CB654" s="1396"/>
      <c r="CC654" s="1396">
        <f t="shared" si="33"/>
        <v>0</v>
      </c>
      <c r="CD654" s="1396"/>
      <c r="CE654" s="1396"/>
      <c r="CF654" s="1396"/>
      <c r="CG654" s="1396"/>
      <c r="CH654" s="1396">
        <f t="shared" si="34"/>
        <v>0</v>
      </c>
      <c r="CI654" s="1396"/>
      <c r="CJ654" s="1396"/>
      <c r="CK654" s="1396"/>
      <c r="CL654" s="1396"/>
      <c r="CM654" s="1396">
        <f t="shared" si="35"/>
        <v>0</v>
      </c>
      <c r="CN654" s="1396"/>
      <c r="CO654" s="1396"/>
      <c r="CP654" s="1396"/>
      <c r="CQ654" s="1396"/>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2.95" customHeight="1">
      <c r="A655" s="22"/>
      <c r="B655" t="s">
        <v>317</v>
      </c>
      <c r="G655" s="1386" t="str">
        <f>+Z647</f>
        <v>916-263-2771</v>
      </c>
      <c r="H655" s="1386"/>
      <c r="I655" s="1386"/>
      <c r="J655" s="1386"/>
      <c r="K655" s="1386"/>
      <c r="L655" s="1386"/>
      <c r="O655" s="33" t="s">
        <v>207</v>
      </c>
      <c r="P655" s="1385"/>
      <c r="Q655" s="1385"/>
      <c r="R655" s="1385"/>
      <c r="T655" s="22"/>
      <c r="U655" t="s">
        <v>317</v>
      </c>
      <c r="Z655" s="1556" t="s">
        <v>2654</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398">
        <f>SUM(BN645:BR654)</f>
        <v>0</v>
      </c>
      <c r="BO655" s="1508"/>
      <c r="BP655" s="1508"/>
      <c r="BQ655" s="1508"/>
      <c r="BR655" s="1399"/>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2.95" customHeight="1">
      <c r="A656" s="22"/>
      <c r="B656" t="s">
        <v>18</v>
      </c>
      <c r="H656" s="1384" t="str">
        <f>+AA648</f>
        <v>Residual receipts loan</v>
      </c>
      <c r="I656" s="1384"/>
      <c r="J656" s="1384"/>
      <c r="K656" s="1384"/>
      <c r="L656" s="1384"/>
      <c r="M656" s="1384"/>
      <c r="N656" s="1384"/>
      <c r="O656" s="1384"/>
      <c r="P656" s="1384"/>
      <c r="Q656" s="1384"/>
      <c r="R656" s="1384"/>
      <c r="T656" s="22"/>
      <c r="U656" t="s">
        <v>18</v>
      </c>
      <c r="AA656" s="1524" t="s">
        <v>2764</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2.95" customHeight="1">
      <c r="A659" s="55" t="s">
        <v>773</v>
      </c>
      <c r="B659" t="s">
        <v>472</v>
      </c>
      <c r="G659" s="1507">
        <f>C631</f>
        <v>0</v>
      </c>
      <c r="H659" s="1507"/>
      <c r="I659" s="1507"/>
      <c r="J659" s="1507"/>
      <c r="K659" s="1507"/>
      <c r="L659" s="1507"/>
      <c r="M659" s="1507"/>
      <c r="N659" s="1507"/>
      <c r="O659" s="1507"/>
      <c r="P659" s="1507"/>
      <c r="Q659" s="1507"/>
      <c r="R659" s="1507"/>
      <c r="T659" s="55" t="s">
        <v>593</v>
      </c>
      <c r="U659" t="s">
        <v>472</v>
      </c>
      <c r="Z659" s="1507">
        <f>C632</f>
        <v>0</v>
      </c>
      <c r="AA659" s="1507"/>
      <c r="AB659" s="1507"/>
      <c r="AC659" s="1507"/>
      <c r="AD659" s="1507"/>
      <c r="AE659" s="1507"/>
      <c r="AF659" s="1507"/>
      <c r="AG659" s="1507"/>
      <c r="AH659" s="1507"/>
      <c r="AI659" s="1507"/>
      <c r="AJ659" s="1507"/>
      <c r="AK659" s="150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7">
        <f>BN632+BN641+BN655</f>
        <v>0</v>
      </c>
      <c r="BO660" s="1728"/>
      <c r="BP660" s="1728"/>
      <c r="BQ660" s="1728"/>
      <c r="BR660" s="1729"/>
      <c r="BS660" s="1727">
        <f>BS632+BS641+BS655</f>
        <v>24</v>
      </c>
      <c r="BT660" s="1728"/>
      <c r="BU660" s="1728"/>
      <c r="BV660" s="1728"/>
      <c r="BW660" s="1729"/>
      <c r="BX660" s="1727">
        <f>BX632+BX641+BX655</f>
        <v>50</v>
      </c>
      <c r="BY660" s="1728"/>
      <c r="BZ660" s="1728"/>
      <c r="CA660" s="1728"/>
      <c r="CB660" s="1729"/>
      <c r="CC660" s="1727">
        <f>CC632+CC641+CC655</f>
        <v>26</v>
      </c>
      <c r="CD660" s="1728"/>
      <c r="CE660" s="1728"/>
      <c r="CF660" s="1728"/>
      <c r="CG660" s="1729"/>
      <c r="CH660" s="1727">
        <f>CH632+CH641+CH655</f>
        <v>0</v>
      </c>
      <c r="CI660" s="1728"/>
      <c r="CJ660" s="1728"/>
      <c r="CK660" s="1728"/>
      <c r="CL660" s="1729"/>
      <c r="CM660" s="1388">
        <f>CM655+CM641+CM632</f>
        <v>0</v>
      </c>
      <c r="CN660" s="1389"/>
      <c r="CO660" s="1389"/>
      <c r="CP660" s="1389"/>
      <c r="CQ660" s="1390"/>
      <c r="CR660" s="3"/>
      <c r="CS660" s="895">
        <f>CS634+CS658</f>
        <v>199</v>
      </c>
      <c r="CT660" s="57" t="s">
        <v>2056</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2.95" customHeight="1">
      <c r="A661" s="22"/>
      <c r="B661" t="s">
        <v>589</v>
      </c>
      <c r="G661" s="1384"/>
      <c r="H661" s="1384"/>
      <c r="I661" s="1384"/>
      <c r="J661" s="1384"/>
      <c r="K661" s="1384"/>
      <c r="L661" s="1384"/>
      <c r="M661" s="1384"/>
      <c r="N661" s="1384"/>
      <c r="O661" s="1384"/>
      <c r="P661" s="1384"/>
      <c r="Q661" s="1384"/>
      <c r="R661" s="1384"/>
      <c r="T661" s="22"/>
      <c r="U661" t="s">
        <v>589</v>
      </c>
      <c r="Z661" s="1454"/>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54"/>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2.95" customHeight="1">
      <c r="A663" s="22"/>
      <c r="B663" t="s">
        <v>317</v>
      </c>
      <c r="G663" s="1386"/>
      <c r="H663" s="1386"/>
      <c r="I663" s="1386"/>
      <c r="J663" s="1386"/>
      <c r="K663" s="1386"/>
      <c r="L663" s="1386"/>
      <c r="O663" s="33" t="s">
        <v>207</v>
      </c>
      <c r="P663" s="1385"/>
      <c r="Q663" s="1385"/>
      <c r="R663" s="1385"/>
      <c r="T663" s="22"/>
      <c r="U663" t="s">
        <v>317</v>
      </c>
      <c r="Z663" s="1386"/>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2.95" customHeight="1">
      <c r="A665" s="22"/>
      <c r="B665" t="s">
        <v>20</v>
      </c>
      <c r="N665" s="1380" t="s">
        <v>678</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2.95" customHeight="1">
      <c r="A667" s="55" t="s">
        <v>464</v>
      </c>
      <c r="B667" t="s">
        <v>472</v>
      </c>
      <c r="G667" s="1507">
        <f>C633</f>
        <v>0</v>
      </c>
      <c r="H667" s="1507"/>
      <c r="I667" s="1507"/>
      <c r="J667" s="1507"/>
      <c r="K667" s="1507"/>
      <c r="L667" s="1507"/>
      <c r="M667" s="1507"/>
      <c r="N667" s="1507"/>
      <c r="O667" s="1507"/>
      <c r="P667" s="1507"/>
      <c r="Q667" s="1507"/>
      <c r="R667" s="1507"/>
      <c r="T667" s="55" t="s">
        <v>465</v>
      </c>
      <c r="U667" t="s">
        <v>472</v>
      </c>
      <c r="Z667" s="1507">
        <f>C634</f>
        <v>0</v>
      </c>
      <c r="AA667" s="1507"/>
      <c r="AB667" s="1507"/>
      <c r="AC667" s="1507"/>
      <c r="AD667" s="1507"/>
      <c r="AE667" s="1507"/>
      <c r="AF667" s="1507"/>
      <c r="AG667" s="1507"/>
      <c r="AH667" s="1507"/>
      <c r="AI667" s="1507"/>
      <c r="AJ667" s="1507"/>
      <c r="AK667" s="1507"/>
      <c r="AZ667" s="3"/>
      <c r="BA667" s="118">
        <f t="shared" ref="BA667:BA699" si="48">IF($G718=0,"N/A",VLOOKUP($T$189,TC_Rent,(MATCH($B718,bedrooms,FALSE))))</f>
        <v>1644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1974</v>
      </c>
      <c r="BB668" s="3"/>
      <c r="BC668" s="3"/>
      <c r="BD668" s="3"/>
      <c r="BE668" s="3"/>
      <c r="BF668" s="218"/>
      <c r="BG668" s="315">
        <f t="shared" ref="BG668:BG700" si="49">G718</f>
        <v>3</v>
      </c>
      <c r="BH668" s="319">
        <f t="shared" ref="BH668:BH702" si="50">IF($BG$703=0,0,BG668/$BG$703)</f>
        <v>3.0303030303030304E-2</v>
      </c>
      <c r="BI668" s="320">
        <f t="shared" ref="BI668:BI691" si="51">IF(BH668=0,"",BH668*AC718)</f>
        <v>9.0909090909090905E-3</v>
      </c>
      <c r="BJ668" s="3"/>
      <c r="BK668" s="3"/>
      <c r="BL668" s="3"/>
      <c r="BM668" s="3"/>
      <c r="BN668" s="3"/>
      <c r="BO668" s="3"/>
      <c r="BT668" s="315">
        <f t="shared" ref="BT668:BT700" si="52">G718</f>
        <v>3</v>
      </c>
      <c r="BU668" s="319">
        <f t="shared" ref="BU668:BU702" si="53">IF($BT$703=0,0,BT668/$BT$703)</f>
        <v>3.0303030303030304E-2</v>
      </c>
      <c r="BV668" s="320">
        <f t="shared" ref="BV668:BV700" si="54">IF(BU668=0,"",BU668*AH718)</f>
        <v>9.0872225908722268E-3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54"/>
      <c r="AA669" s="1454"/>
      <c r="AB669" s="1454"/>
      <c r="AC669" s="1454"/>
      <c r="AD669" s="1454"/>
      <c r="AE669" s="1454"/>
      <c r="AF669" s="1454"/>
      <c r="AG669" s="1454"/>
      <c r="AH669" s="1454"/>
      <c r="AI669" s="1454"/>
      <c r="AJ669" s="1454"/>
      <c r="AK669" s="1454"/>
      <c r="AZ669" s="3"/>
      <c r="BA669" s="118">
        <f t="shared" si="48"/>
        <v>2280</v>
      </c>
      <c r="BB669" s="3"/>
      <c r="BC669" s="3"/>
      <c r="BD669" s="3"/>
      <c r="BE669" s="3"/>
      <c r="BF669" s="218"/>
      <c r="BG669" s="316">
        <f t="shared" si="49"/>
        <v>5</v>
      </c>
      <c r="BH669" s="319">
        <f t="shared" si="50"/>
        <v>5.0505050505050504E-2</v>
      </c>
      <c r="BI669" s="320">
        <f t="shared" si="51"/>
        <v>1.515151515151515E-2</v>
      </c>
      <c r="BJ669" s="3"/>
      <c r="BK669" s="3"/>
      <c r="BL669" s="3"/>
      <c r="BM669" s="3"/>
      <c r="BN669" s="3"/>
      <c r="BO669" s="3"/>
      <c r="BT669" s="316">
        <f t="shared" si="52"/>
        <v>5</v>
      </c>
      <c r="BU669" s="319">
        <f t="shared" si="53"/>
        <v>5.0505050505050504E-2</v>
      </c>
      <c r="BV669" s="320">
        <f t="shared" si="54"/>
        <v>1.514639812512153E-2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4"/>
      <c r="AA670" s="1454"/>
      <c r="AB670" s="1454"/>
      <c r="AC670" s="1454"/>
      <c r="AD670" s="1454"/>
      <c r="AE670" s="1454"/>
      <c r="AF670" s="1454"/>
      <c r="AG670" s="1454"/>
      <c r="AH670" s="1454"/>
      <c r="AI670" s="1454"/>
      <c r="AJ670" s="1454"/>
      <c r="AK670" s="1454"/>
      <c r="AZ670" s="3"/>
      <c r="BA670" s="118">
        <f t="shared" si="48"/>
        <v>1644</v>
      </c>
      <c r="BB670" s="3"/>
      <c r="BC670" s="3"/>
      <c r="BD670" s="3"/>
      <c r="BE670" s="3"/>
      <c r="BF670" s="218"/>
      <c r="BG670" s="316">
        <f t="shared" si="49"/>
        <v>3</v>
      </c>
      <c r="BH670" s="319">
        <f t="shared" si="50"/>
        <v>3.0303030303030304E-2</v>
      </c>
      <c r="BI670" s="320">
        <f t="shared" si="51"/>
        <v>9.0909090909090905E-3</v>
      </c>
      <c r="BJ670" s="3"/>
      <c r="BK670" s="3"/>
      <c r="BL670" s="3"/>
      <c r="BM670" s="3"/>
      <c r="BN670" s="3"/>
      <c r="BO670" s="3"/>
      <c r="BT670" s="316">
        <f t="shared" si="52"/>
        <v>3</v>
      </c>
      <c r="BU670" s="319">
        <f t="shared" si="53"/>
        <v>3.0303030303030304E-2</v>
      </c>
      <c r="BV670" s="320">
        <f t="shared" si="54"/>
        <v>9.0909090909090905E-3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642.125</v>
      </c>
      <c r="ED670" s="1361"/>
      <c r="EE670" s="1361"/>
      <c r="EF670" s="1361"/>
      <c r="EG670" s="1361"/>
      <c r="EH670" s="1361">
        <f>SUMIF(EH635:EL669,"&gt;0")</f>
        <v>751.84</v>
      </c>
      <c r="EI670" s="1361"/>
      <c r="EJ670" s="1361"/>
      <c r="EK670" s="1361"/>
      <c r="EL670" s="1361"/>
      <c r="EM670" s="1361">
        <f>SUMIF(EM635:EQ669,"&gt;0")</f>
        <v>850.28</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1974</v>
      </c>
      <c r="BB671" s="3"/>
      <c r="BC671" s="3"/>
      <c r="BD671" s="3"/>
      <c r="BE671" s="3"/>
      <c r="BF671" s="218"/>
      <c r="BG671" s="316">
        <f t="shared" si="49"/>
        <v>6</v>
      </c>
      <c r="BH671" s="319">
        <f t="shared" si="50"/>
        <v>6.0606060606060608E-2</v>
      </c>
      <c r="BI671" s="320">
        <f t="shared" si="51"/>
        <v>2.4242424242424246E-2</v>
      </c>
      <c r="BJ671" s="3"/>
      <c r="BK671" s="3"/>
      <c r="BL671" s="3"/>
      <c r="BM671" s="3"/>
      <c r="BN671" s="3"/>
      <c r="BO671" s="3"/>
      <c r="BT671" s="316">
        <f t="shared" si="52"/>
        <v>6</v>
      </c>
      <c r="BU671" s="319">
        <f t="shared" si="53"/>
        <v>6.0606060606060608E-2</v>
      </c>
      <c r="BV671" s="320">
        <f t="shared" si="54"/>
        <v>2.4257170242571704E-2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2280</v>
      </c>
      <c r="BB672" s="3"/>
      <c r="BC672" s="3"/>
      <c r="BD672" s="3"/>
      <c r="BE672" s="3"/>
      <c r="BF672" s="218"/>
      <c r="BG672" s="316">
        <f t="shared" si="49"/>
        <v>13</v>
      </c>
      <c r="BH672" s="319">
        <f t="shared" si="50"/>
        <v>0.13131313131313133</v>
      </c>
      <c r="BI672" s="320">
        <f t="shared" si="51"/>
        <v>5.252525252525253E-2</v>
      </c>
      <c r="BJ672" s="3"/>
      <c r="BK672" s="3"/>
      <c r="BL672" s="3"/>
      <c r="BM672" s="3"/>
      <c r="BN672" s="3"/>
      <c r="BO672" s="3"/>
      <c r="BT672" s="316">
        <f t="shared" si="52"/>
        <v>13</v>
      </c>
      <c r="BU672" s="319">
        <f t="shared" si="53"/>
        <v>0.13131313131313133</v>
      </c>
      <c r="BV672" s="320">
        <f t="shared" si="54"/>
        <v>5.2551861062499365E-2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f t="shared" si="48"/>
        <v>1644</v>
      </c>
      <c r="BB673" s="3"/>
      <c r="BC673" s="3"/>
      <c r="BD673" s="3"/>
      <c r="BE673" s="3"/>
      <c r="BF673" s="218"/>
      <c r="BG673" s="316">
        <f t="shared" si="49"/>
        <v>6</v>
      </c>
      <c r="BH673" s="319">
        <f t="shared" si="50"/>
        <v>6.0606060606060608E-2</v>
      </c>
      <c r="BI673" s="320">
        <f t="shared" si="51"/>
        <v>2.4242424242424246E-2</v>
      </c>
      <c r="BJ673" s="3"/>
      <c r="BK673" s="3"/>
      <c r="BL673" s="3"/>
      <c r="BM673" s="3"/>
      <c r="BN673" s="3"/>
      <c r="BO673" s="3"/>
      <c r="BT673" s="316">
        <f t="shared" si="52"/>
        <v>6</v>
      </c>
      <c r="BU673" s="319">
        <f t="shared" si="53"/>
        <v>6.0606060606060608E-2</v>
      </c>
      <c r="BV673" s="320">
        <f t="shared" si="54"/>
        <v>2.4242424242424246E-2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1974</v>
      </c>
      <c r="BB674" s="3"/>
      <c r="BC674" s="3"/>
      <c r="BD674" s="3"/>
      <c r="BE674" s="3"/>
      <c r="BF674" s="218"/>
      <c r="BG674" s="316">
        <f t="shared" si="49"/>
        <v>9</v>
      </c>
      <c r="BH674" s="319">
        <f t="shared" si="50"/>
        <v>9.0909090909090912E-2</v>
      </c>
      <c r="BI674" s="320">
        <f t="shared" si="51"/>
        <v>4.5454545454545456E-2</v>
      </c>
      <c r="BJ674" s="3"/>
      <c r="BK674" s="3"/>
      <c r="BL674" s="3"/>
      <c r="BM674" s="3"/>
      <c r="BN674" s="3"/>
      <c r="BO674" s="3"/>
      <c r="BT674" s="316">
        <f t="shared" si="52"/>
        <v>9</v>
      </c>
      <c r="BU674" s="319">
        <f t="shared" si="53"/>
        <v>9.0909090909090912E-2</v>
      </c>
      <c r="BV674" s="320">
        <f t="shared" si="54"/>
        <v>4.5454545454545456E-2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7">
        <f>C635</f>
        <v>0</v>
      </c>
      <c r="H675" s="1507"/>
      <c r="I675" s="1507"/>
      <c r="J675" s="1507"/>
      <c r="K675" s="1507"/>
      <c r="L675" s="1507"/>
      <c r="M675" s="1507"/>
      <c r="N675" s="1507"/>
      <c r="O675" s="1507"/>
      <c r="P675" s="1507"/>
      <c r="Q675" s="1507"/>
      <c r="R675" s="1507"/>
      <c r="T675" s="55" t="s">
        <v>655</v>
      </c>
      <c r="U675" t="s">
        <v>472</v>
      </c>
      <c r="Z675" s="1507">
        <f>C636</f>
        <v>0</v>
      </c>
      <c r="AA675" s="1507"/>
      <c r="AB675" s="1507"/>
      <c r="AC675" s="1507"/>
      <c r="AD675" s="1507"/>
      <c r="AE675" s="1507"/>
      <c r="AF675" s="1507"/>
      <c r="AG675" s="1507"/>
      <c r="AH675" s="1507"/>
      <c r="AI675" s="1507"/>
      <c r="AJ675" s="1507"/>
      <c r="AK675" s="1507"/>
      <c r="AZ675" s="3"/>
      <c r="BA675" s="118">
        <f t="shared" si="48"/>
        <v>2280</v>
      </c>
      <c r="BB675" s="3"/>
      <c r="BC675" s="3"/>
      <c r="BD675" s="3"/>
      <c r="BE675" s="3"/>
      <c r="BF675" s="218"/>
      <c r="BG675" s="316">
        <f t="shared" si="49"/>
        <v>21</v>
      </c>
      <c r="BH675" s="319">
        <f t="shared" si="50"/>
        <v>0.21212121212121213</v>
      </c>
      <c r="BI675" s="320">
        <f t="shared" si="51"/>
        <v>0.10606060606060606</v>
      </c>
      <c r="BJ675" s="3"/>
      <c r="BK675" s="3"/>
      <c r="BL675" s="3"/>
      <c r="BM675" s="3"/>
      <c r="BN675" s="3"/>
      <c r="BO675" s="3"/>
      <c r="BT675" s="316">
        <f t="shared" si="52"/>
        <v>21</v>
      </c>
      <c r="BU675" s="319">
        <f t="shared" si="53"/>
        <v>0.21212121212121213</v>
      </c>
      <c r="BV675" s="320">
        <f t="shared" si="54"/>
        <v>0.10606060606060606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1644</v>
      </c>
      <c r="BB676" s="3"/>
      <c r="BC676" s="3"/>
      <c r="BD676" s="3"/>
      <c r="BE676" s="3"/>
      <c r="BF676" s="218"/>
      <c r="BG676" s="316">
        <f t="shared" si="49"/>
        <v>10</v>
      </c>
      <c r="BH676" s="319">
        <f t="shared" si="50"/>
        <v>0.10101010101010101</v>
      </c>
      <c r="BI676" s="320">
        <f t="shared" si="51"/>
        <v>5.0505050505050504E-2</v>
      </c>
      <c r="BJ676" s="3"/>
      <c r="BK676" s="3"/>
      <c r="BL676" s="3"/>
      <c r="BM676" s="3"/>
      <c r="BN676" s="3"/>
      <c r="BO676" s="3"/>
      <c r="BT676" s="316">
        <f t="shared" si="52"/>
        <v>10</v>
      </c>
      <c r="BU676" s="319">
        <f t="shared" si="53"/>
        <v>0.10101010101010101</v>
      </c>
      <c r="BV676" s="320">
        <f t="shared" si="54"/>
        <v>5.0505050505050504E-2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54"/>
      <c r="AA677" s="1454"/>
      <c r="AB677" s="1454"/>
      <c r="AC677" s="1454"/>
      <c r="AD677" s="1454"/>
      <c r="AE677" s="1454"/>
      <c r="AF677" s="1454"/>
      <c r="AG677" s="1454"/>
      <c r="AH677" s="1454"/>
      <c r="AI677" s="1454"/>
      <c r="AJ677" s="1454"/>
      <c r="AK677" s="1454"/>
      <c r="AZ677" s="3"/>
      <c r="BA677" s="118">
        <f t="shared" si="48"/>
        <v>1974</v>
      </c>
      <c r="BB677" s="3"/>
      <c r="BC677" s="3"/>
      <c r="BD677" s="3"/>
      <c r="BE677" s="3"/>
      <c r="BF677" s="218"/>
      <c r="BG677" s="316">
        <f t="shared" si="49"/>
        <v>6</v>
      </c>
      <c r="BH677" s="319">
        <f t="shared" si="50"/>
        <v>6.0606060606060608E-2</v>
      </c>
      <c r="BI677" s="320">
        <f t="shared" si="51"/>
        <v>3.6363636363636362E-2</v>
      </c>
      <c r="BJ677" s="3"/>
      <c r="BK677" s="3"/>
      <c r="BL677" s="3"/>
      <c r="BM677" s="3"/>
      <c r="BN677" s="3"/>
      <c r="BO677" s="3"/>
      <c r="BT677" s="316">
        <f t="shared" si="52"/>
        <v>6</v>
      </c>
      <c r="BU677" s="319">
        <f t="shared" si="53"/>
        <v>6.0606060606060608E-2</v>
      </c>
      <c r="BV677" s="320">
        <f t="shared" si="54"/>
        <v>3.6385755363857554E-2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4"/>
      <c r="AA678" s="1454"/>
      <c r="AB678" s="1454"/>
      <c r="AC678" s="1454"/>
      <c r="AD678" s="1454"/>
      <c r="AE678" s="1454"/>
      <c r="AF678" s="1454"/>
      <c r="AG678" s="1454"/>
      <c r="AH678" s="1454"/>
      <c r="AI678" s="1454"/>
      <c r="AJ678" s="1454"/>
      <c r="AK678" s="1454"/>
      <c r="AZ678" s="3"/>
      <c r="BA678" s="118">
        <f t="shared" si="48"/>
        <v>2280</v>
      </c>
      <c r="BB678" s="3"/>
      <c r="BC678" s="3"/>
      <c r="BD678" s="3"/>
      <c r="BE678" s="3"/>
      <c r="BF678" s="218"/>
      <c r="BG678" s="316">
        <f t="shared" si="49"/>
        <v>11</v>
      </c>
      <c r="BH678" s="319">
        <f t="shared" si="50"/>
        <v>0.1111111111111111</v>
      </c>
      <c r="BI678" s="320">
        <f t="shared" si="51"/>
        <v>6.6666666666666666E-2</v>
      </c>
      <c r="BJ678" s="3"/>
      <c r="BK678" s="3"/>
      <c r="BL678" s="3"/>
      <c r="BM678" s="3"/>
      <c r="BN678" s="3"/>
      <c r="BO678" s="3"/>
      <c r="BT678" s="316">
        <f t="shared" si="52"/>
        <v>11</v>
      </c>
      <c r="BU678" s="319">
        <f t="shared" si="53"/>
        <v>0.1111111111111111</v>
      </c>
      <c r="BV678" s="320">
        <f t="shared" si="54"/>
        <v>6.6700439040864562E-2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8"/>
        <v>N/A</v>
      </c>
      <c r="BB679" s="3"/>
      <c r="BC679" s="3"/>
      <c r="BD679" s="3"/>
      <c r="BE679" s="3"/>
      <c r="BF679" s="218"/>
      <c r="BG679" s="316">
        <f t="shared" si="49"/>
        <v>6</v>
      </c>
      <c r="BH679" s="319">
        <f t="shared" si="50"/>
        <v>6.0606060606060608E-2</v>
      </c>
      <c r="BI679" s="320">
        <f t="shared" si="51"/>
        <v>3.6363636363636362E-2</v>
      </c>
      <c r="BJ679" s="3"/>
      <c r="BK679" s="3"/>
      <c r="BL679" s="3"/>
      <c r="BM679" s="3"/>
      <c r="BN679" s="3"/>
      <c r="BO679" s="3"/>
      <c r="BT679" s="316">
        <f t="shared" si="52"/>
        <v>6</v>
      </c>
      <c r="BU679" s="319">
        <f t="shared" si="53"/>
        <v>6.0606060606060608E-2</v>
      </c>
      <c r="BV679" s="320">
        <f t="shared" si="54"/>
        <v>3.6363636363636362E-2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7">
        <f>C637</f>
        <v>0</v>
      </c>
      <c r="H683" s="1507"/>
      <c r="I683" s="1507"/>
      <c r="J683" s="1507"/>
      <c r="K683" s="1507"/>
      <c r="L683" s="1507"/>
      <c r="M683" s="1507"/>
      <c r="N683" s="1507"/>
      <c r="O683" s="1507"/>
      <c r="P683" s="1507"/>
      <c r="Q683" s="1507"/>
      <c r="R683" s="1507"/>
      <c r="T683" s="55" t="s">
        <v>364</v>
      </c>
      <c r="U683" t="s">
        <v>472</v>
      </c>
      <c r="Z683" s="1507">
        <f>C638</f>
        <v>0</v>
      </c>
      <c r="AA683" s="1507"/>
      <c r="AB683" s="1507"/>
      <c r="AC683" s="1507"/>
      <c r="AD683" s="1507"/>
      <c r="AE683" s="1507"/>
      <c r="AF683" s="1507"/>
      <c r="AG683" s="1507"/>
      <c r="AH683" s="1507"/>
      <c r="AI683" s="1507"/>
      <c r="AJ683" s="1507"/>
      <c r="AK683" s="150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8">
        <v>45405</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8">
        <v>45597</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7">
        <v>0.55000000000000004</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7" t="str">
        <f>H335</f>
        <v>California Municipal Finance Authority</v>
      </c>
      <c r="X700" s="1507"/>
      <c r="Y700" s="1507"/>
      <c r="Z700" s="1507"/>
      <c r="AA700" s="1507"/>
      <c r="AB700" s="1507"/>
      <c r="AC700" s="1507"/>
      <c r="AD700" s="1507"/>
      <c r="AE700" s="1507"/>
      <c r="AF700" s="1507"/>
      <c r="AG700" s="1507"/>
      <c r="AH700" s="1507"/>
      <c r="AI700" s="1507"/>
      <c r="AJ700" s="1507"/>
      <c r="AK700" s="150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99</v>
      </c>
      <c r="BH703" s="322">
        <f>SUM(BH668:BH702)</f>
        <v>1</v>
      </c>
      <c r="BI703" s="322">
        <f>SUM(BI668:BI702)</f>
        <v>0.47575757575757577</v>
      </c>
      <c r="BN703" s="3"/>
      <c r="BO703" s="3"/>
      <c r="BT703" s="893">
        <f>SUM(BT668:BT702)</f>
        <v>99</v>
      </c>
      <c r="BU703" s="322">
        <f>SUM(BU668:BU702)</f>
        <v>1</v>
      </c>
      <c r="BV703" s="322">
        <f>SUM(BV668:BV702)</f>
        <v>0.47584601814295868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0" t="s">
        <v>390</v>
      </c>
      <c r="C714" s="1369"/>
      <c r="D714" s="1369"/>
      <c r="E714" s="1369"/>
      <c r="F714" s="1370"/>
      <c r="G714" s="1500" t="s">
        <v>286</v>
      </c>
      <c r="H714" s="1369"/>
      <c r="I714" s="1369"/>
      <c r="J714" s="1370"/>
      <c r="K714" s="1413" t="s">
        <v>1869</v>
      </c>
      <c r="L714" s="1414"/>
      <c r="M714" s="1414"/>
      <c r="N714" s="1415"/>
      <c r="O714" s="1500"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3</v>
      </c>
      <c r="H718" s="1366"/>
      <c r="I718" s="1366"/>
      <c r="J718" s="1367"/>
      <c r="K718" s="1381">
        <v>612</v>
      </c>
      <c r="L718" s="1382"/>
      <c r="M718" s="1382"/>
      <c r="N718" s="1383"/>
      <c r="O718" s="1377">
        <v>354</v>
      </c>
      <c r="P718" s="1378"/>
      <c r="Q718" s="1378"/>
      <c r="R718" s="1378"/>
      <c r="S718" s="1379"/>
      <c r="T718" s="1377">
        <v>139</v>
      </c>
      <c r="U718" s="1378"/>
      <c r="V718" s="1378"/>
      <c r="W718" s="1379"/>
      <c r="X718" s="1358">
        <f t="shared" ref="X718:X741" si="59">O718+T718</f>
        <v>493</v>
      </c>
      <c r="Y718" s="1359"/>
      <c r="Z718" s="1359"/>
      <c r="AA718" s="1359"/>
      <c r="AB718" s="1360"/>
      <c r="AC718" s="1584">
        <v>0.3</v>
      </c>
      <c r="AD718" s="1585"/>
      <c r="AE718" s="1585"/>
      <c r="AF718" s="1585"/>
      <c r="AG718" s="1586"/>
      <c r="AH718" s="1362">
        <f t="shared" ref="AH718:AH751" si="60">IF($AC718&gt;0,($X718/$BA667), "")</f>
        <v>0.29987834549878345</v>
      </c>
      <c r="AI718" s="1363"/>
      <c r="AJ718" s="1364"/>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163</v>
      </c>
      <c r="C719" s="1356"/>
      <c r="D719" s="1356"/>
      <c r="E719" s="1356"/>
      <c r="F719" s="1357"/>
      <c r="G719" s="1365">
        <v>5</v>
      </c>
      <c r="H719" s="1366"/>
      <c r="I719" s="1366"/>
      <c r="J719" s="1367"/>
      <c r="K719" s="1381">
        <v>774</v>
      </c>
      <c r="L719" s="1382"/>
      <c r="M719" s="1382"/>
      <c r="N719" s="1383"/>
      <c r="O719" s="1377">
        <v>404</v>
      </c>
      <c r="P719" s="1378"/>
      <c r="Q719" s="1378"/>
      <c r="R719" s="1378"/>
      <c r="S719" s="1379"/>
      <c r="T719" s="1377">
        <v>188</v>
      </c>
      <c r="U719" s="1378"/>
      <c r="V719" s="1378"/>
      <c r="W719" s="1379"/>
      <c r="X719" s="1358">
        <f t="shared" si="59"/>
        <v>592</v>
      </c>
      <c r="Y719" s="1359"/>
      <c r="Z719" s="1359"/>
      <c r="AA719" s="1359"/>
      <c r="AB719" s="1360"/>
      <c r="AC719" s="1584">
        <v>0.3</v>
      </c>
      <c r="AD719" s="1585"/>
      <c r="AE719" s="1585"/>
      <c r="AF719" s="1585"/>
      <c r="AG719" s="1586"/>
      <c r="AH719" s="1362">
        <f t="shared" si="60"/>
        <v>0.29989868287740629</v>
      </c>
      <c r="AI719" s="1363"/>
      <c r="AJ719" s="1364"/>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164</v>
      </c>
      <c r="C720" s="1356"/>
      <c r="D720" s="1356"/>
      <c r="E720" s="1356"/>
      <c r="F720" s="1357"/>
      <c r="G720" s="1365">
        <v>3</v>
      </c>
      <c r="H720" s="1366"/>
      <c r="I720" s="1366"/>
      <c r="J720" s="1367"/>
      <c r="K720" s="1381">
        <v>968</v>
      </c>
      <c r="L720" s="1382"/>
      <c r="M720" s="1382"/>
      <c r="N720" s="1383"/>
      <c r="O720" s="1377">
        <v>449</v>
      </c>
      <c r="P720" s="1378"/>
      <c r="Q720" s="1378"/>
      <c r="R720" s="1378"/>
      <c r="S720" s="1379"/>
      <c r="T720" s="1377">
        <v>235</v>
      </c>
      <c r="U720" s="1378"/>
      <c r="V720" s="1378"/>
      <c r="W720" s="1379"/>
      <c r="X720" s="1358">
        <f t="shared" si="59"/>
        <v>684</v>
      </c>
      <c r="Y720" s="1359"/>
      <c r="Z720" s="1359"/>
      <c r="AA720" s="1359"/>
      <c r="AB720" s="1360"/>
      <c r="AC720" s="1584">
        <v>0.3</v>
      </c>
      <c r="AD720" s="1585"/>
      <c r="AE720" s="1585"/>
      <c r="AF720" s="1585"/>
      <c r="AG720" s="1586"/>
      <c r="AH720" s="1362">
        <f t="shared" si="60"/>
        <v>0.3</v>
      </c>
      <c r="AI720" s="1363"/>
      <c r="AJ720" s="1364"/>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5">
        <v>6</v>
      </c>
      <c r="H721" s="1366"/>
      <c r="I721" s="1366"/>
      <c r="J721" s="1367"/>
      <c r="K721" s="1381">
        <v>612</v>
      </c>
      <c r="L721" s="1382"/>
      <c r="M721" s="1382"/>
      <c r="N721" s="1383"/>
      <c r="O721" s="1377">
        <v>519</v>
      </c>
      <c r="P721" s="1378"/>
      <c r="Q721" s="1378"/>
      <c r="R721" s="1378"/>
      <c r="S721" s="1379"/>
      <c r="T721" s="1377">
        <v>139</v>
      </c>
      <c r="U721" s="1378"/>
      <c r="V721" s="1378"/>
      <c r="W721" s="1379"/>
      <c r="X721" s="1358">
        <f t="shared" si="59"/>
        <v>658</v>
      </c>
      <c r="Y721" s="1359"/>
      <c r="Z721" s="1359"/>
      <c r="AA721" s="1359"/>
      <c r="AB721" s="1360"/>
      <c r="AC721" s="1584">
        <v>0.4</v>
      </c>
      <c r="AD721" s="1585"/>
      <c r="AE721" s="1585"/>
      <c r="AF721" s="1585"/>
      <c r="AG721" s="1586"/>
      <c r="AH721" s="1362">
        <f t="shared" si="60"/>
        <v>0.4002433090024331</v>
      </c>
      <c r="AI721" s="1363"/>
      <c r="AJ721" s="1364"/>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13</v>
      </c>
      <c r="H722" s="1366"/>
      <c r="I722" s="1366"/>
      <c r="J722" s="1367"/>
      <c r="K722" s="1381">
        <v>774</v>
      </c>
      <c r="L722" s="1382"/>
      <c r="M722" s="1382"/>
      <c r="N722" s="1383"/>
      <c r="O722" s="1377">
        <v>602</v>
      </c>
      <c r="P722" s="1378"/>
      <c r="Q722" s="1378"/>
      <c r="R722" s="1378"/>
      <c r="S722" s="1379"/>
      <c r="T722" s="1377">
        <v>188</v>
      </c>
      <c r="U722" s="1378"/>
      <c r="V722" s="1378"/>
      <c r="W722" s="1379"/>
      <c r="X722" s="1358">
        <f t="shared" si="59"/>
        <v>790</v>
      </c>
      <c r="Y722" s="1359"/>
      <c r="Z722" s="1359"/>
      <c r="AA722" s="1359"/>
      <c r="AB722" s="1360"/>
      <c r="AC722" s="1584">
        <v>0.4</v>
      </c>
      <c r="AD722" s="1585"/>
      <c r="AE722" s="1585"/>
      <c r="AF722" s="1585"/>
      <c r="AG722" s="1586"/>
      <c r="AH722" s="1362">
        <f t="shared" si="60"/>
        <v>0.40020263424518743</v>
      </c>
      <c r="AI722" s="1363"/>
      <c r="AJ722" s="1364"/>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164</v>
      </c>
      <c r="C723" s="1356"/>
      <c r="D723" s="1356"/>
      <c r="E723" s="1356"/>
      <c r="F723" s="1357"/>
      <c r="G723" s="1365">
        <v>6</v>
      </c>
      <c r="H723" s="1366"/>
      <c r="I723" s="1366"/>
      <c r="J723" s="1367"/>
      <c r="K723" s="1381">
        <v>968</v>
      </c>
      <c r="L723" s="1382"/>
      <c r="M723" s="1382"/>
      <c r="N723" s="1383"/>
      <c r="O723" s="1377">
        <v>677</v>
      </c>
      <c r="P723" s="1378"/>
      <c r="Q723" s="1378"/>
      <c r="R723" s="1378"/>
      <c r="S723" s="1379"/>
      <c r="T723" s="1377">
        <v>235</v>
      </c>
      <c r="U723" s="1378"/>
      <c r="V723" s="1378"/>
      <c r="W723" s="1379"/>
      <c r="X723" s="1358">
        <f t="shared" si="59"/>
        <v>912</v>
      </c>
      <c r="Y723" s="1359"/>
      <c r="Z723" s="1359"/>
      <c r="AA723" s="1359"/>
      <c r="AB723" s="1360"/>
      <c r="AC723" s="1584">
        <v>0.4</v>
      </c>
      <c r="AD723" s="1585"/>
      <c r="AE723" s="1585"/>
      <c r="AF723" s="1585"/>
      <c r="AG723" s="1586"/>
      <c r="AH723" s="1362">
        <f t="shared" si="60"/>
        <v>0.4</v>
      </c>
      <c r="AI723" s="1363"/>
      <c r="AJ723" s="1364"/>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5">
        <v>9</v>
      </c>
      <c r="H724" s="1366"/>
      <c r="I724" s="1366"/>
      <c r="J724" s="1367"/>
      <c r="K724" s="1381">
        <v>612</v>
      </c>
      <c r="L724" s="1382"/>
      <c r="M724" s="1382"/>
      <c r="N724" s="1383"/>
      <c r="O724" s="1377">
        <v>683</v>
      </c>
      <c r="P724" s="1378"/>
      <c r="Q724" s="1378"/>
      <c r="R724" s="1378"/>
      <c r="S724" s="1379"/>
      <c r="T724" s="1377">
        <v>139</v>
      </c>
      <c r="U724" s="1378"/>
      <c r="V724" s="1378"/>
      <c r="W724" s="1379"/>
      <c r="X724" s="1358">
        <f t="shared" si="59"/>
        <v>822</v>
      </c>
      <c r="Y724" s="1359"/>
      <c r="Z724" s="1359"/>
      <c r="AA724" s="1359"/>
      <c r="AB724" s="1360"/>
      <c r="AC724" s="1584">
        <v>0.5</v>
      </c>
      <c r="AD724" s="1585"/>
      <c r="AE724" s="1585"/>
      <c r="AF724" s="1585"/>
      <c r="AG724" s="1586"/>
      <c r="AH724" s="1362">
        <f t="shared" si="60"/>
        <v>0.5</v>
      </c>
      <c r="AI724" s="1363"/>
      <c r="AJ724" s="1364"/>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21</v>
      </c>
      <c r="H725" s="1366"/>
      <c r="I725" s="1366"/>
      <c r="J725" s="1367"/>
      <c r="K725" s="1381">
        <v>774</v>
      </c>
      <c r="L725" s="1382"/>
      <c r="M725" s="1382"/>
      <c r="N725" s="1383"/>
      <c r="O725" s="1377">
        <v>799</v>
      </c>
      <c r="P725" s="1378"/>
      <c r="Q725" s="1378"/>
      <c r="R725" s="1378"/>
      <c r="S725" s="1379"/>
      <c r="T725" s="1377">
        <v>188</v>
      </c>
      <c r="U725" s="1378"/>
      <c r="V725" s="1378"/>
      <c r="W725" s="1379"/>
      <c r="X725" s="1358">
        <f t="shared" si="59"/>
        <v>987</v>
      </c>
      <c r="Y725" s="1359"/>
      <c r="Z725" s="1359"/>
      <c r="AA725" s="1359"/>
      <c r="AB725" s="1360"/>
      <c r="AC725" s="1584">
        <v>0.5</v>
      </c>
      <c r="AD725" s="1585"/>
      <c r="AE725" s="1585"/>
      <c r="AF725" s="1585"/>
      <c r="AG725" s="1586"/>
      <c r="AH725" s="1362">
        <f t="shared" si="60"/>
        <v>0.5</v>
      </c>
      <c r="AI725" s="1363"/>
      <c r="AJ725" s="1364"/>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10</v>
      </c>
      <c r="H726" s="1366"/>
      <c r="I726" s="1366"/>
      <c r="J726" s="1367"/>
      <c r="K726" s="1381">
        <v>968</v>
      </c>
      <c r="L726" s="1382"/>
      <c r="M726" s="1382"/>
      <c r="N726" s="1383"/>
      <c r="O726" s="1377">
        <v>905</v>
      </c>
      <c r="P726" s="1378"/>
      <c r="Q726" s="1378"/>
      <c r="R726" s="1378"/>
      <c r="S726" s="1379"/>
      <c r="T726" s="1377">
        <v>235</v>
      </c>
      <c r="U726" s="1378"/>
      <c r="V726" s="1378"/>
      <c r="W726" s="1379"/>
      <c r="X726" s="1358">
        <f t="shared" si="59"/>
        <v>1140</v>
      </c>
      <c r="Y726" s="1359"/>
      <c r="Z726" s="1359"/>
      <c r="AA726" s="1359"/>
      <c r="AB726" s="1360"/>
      <c r="AC726" s="1584">
        <v>0.5</v>
      </c>
      <c r="AD726" s="1585"/>
      <c r="AE726" s="1585"/>
      <c r="AF726" s="1585"/>
      <c r="AG726" s="1586"/>
      <c r="AH726" s="1362">
        <f t="shared" si="60"/>
        <v>0.5</v>
      </c>
      <c r="AI726" s="1363"/>
      <c r="AJ726" s="1364"/>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326</v>
      </c>
      <c r="C727" s="1356"/>
      <c r="D727" s="1356"/>
      <c r="E727" s="1356"/>
      <c r="F727" s="1357"/>
      <c r="G727" s="1365">
        <v>6</v>
      </c>
      <c r="H727" s="1366"/>
      <c r="I727" s="1366"/>
      <c r="J727" s="1367"/>
      <c r="K727" s="1381">
        <v>612</v>
      </c>
      <c r="L727" s="1382"/>
      <c r="M727" s="1382"/>
      <c r="N727" s="1383"/>
      <c r="O727" s="1377">
        <v>848</v>
      </c>
      <c r="P727" s="1378"/>
      <c r="Q727" s="1378"/>
      <c r="R727" s="1378"/>
      <c r="S727" s="1379"/>
      <c r="T727" s="1377">
        <v>139</v>
      </c>
      <c r="U727" s="1378"/>
      <c r="V727" s="1378"/>
      <c r="W727" s="1379"/>
      <c r="X727" s="1358">
        <f t="shared" si="59"/>
        <v>987</v>
      </c>
      <c r="Y727" s="1359"/>
      <c r="Z727" s="1359"/>
      <c r="AA727" s="1359"/>
      <c r="AB727" s="1360"/>
      <c r="AC727" s="1584">
        <v>0.6</v>
      </c>
      <c r="AD727" s="1585"/>
      <c r="AE727" s="1585"/>
      <c r="AF727" s="1585"/>
      <c r="AG727" s="1586"/>
      <c r="AH727" s="1362">
        <f t="shared" si="60"/>
        <v>0.60036496350364965</v>
      </c>
      <c r="AI727" s="1363"/>
      <c r="AJ727" s="1364"/>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163</v>
      </c>
      <c r="C728" s="1356"/>
      <c r="D728" s="1356"/>
      <c r="E728" s="1356"/>
      <c r="F728" s="1357"/>
      <c r="G728" s="1365">
        <v>11</v>
      </c>
      <c r="H728" s="1366"/>
      <c r="I728" s="1366"/>
      <c r="J728" s="1367"/>
      <c r="K728" s="1381">
        <v>774</v>
      </c>
      <c r="L728" s="1382"/>
      <c r="M728" s="1382"/>
      <c r="N728" s="1383"/>
      <c r="O728" s="1377">
        <v>997</v>
      </c>
      <c r="P728" s="1378"/>
      <c r="Q728" s="1378"/>
      <c r="R728" s="1378"/>
      <c r="S728" s="1379"/>
      <c r="T728" s="1377">
        <v>188</v>
      </c>
      <c r="U728" s="1378"/>
      <c r="V728" s="1378"/>
      <c r="W728" s="1379"/>
      <c r="X728" s="1358">
        <f t="shared" si="59"/>
        <v>1185</v>
      </c>
      <c r="Y728" s="1359"/>
      <c r="Z728" s="1359"/>
      <c r="AA728" s="1359"/>
      <c r="AB728" s="1360"/>
      <c r="AC728" s="1584">
        <v>0.6</v>
      </c>
      <c r="AD728" s="1585"/>
      <c r="AE728" s="1585"/>
      <c r="AF728" s="1585"/>
      <c r="AG728" s="1586"/>
      <c r="AH728" s="1362">
        <f t="shared" si="60"/>
        <v>0.60030395136778114</v>
      </c>
      <c r="AI728" s="1363"/>
      <c r="AJ728" s="1364"/>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164</v>
      </c>
      <c r="C729" s="1356"/>
      <c r="D729" s="1356"/>
      <c r="E729" s="1356"/>
      <c r="F729" s="1357"/>
      <c r="G729" s="1365">
        <v>6</v>
      </c>
      <c r="H729" s="1366"/>
      <c r="I729" s="1366"/>
      <c r="J729" s="1367"/>
      <c r="K729" s="1381">
        <v>968</v>
      </c>
      <c r="L729" s="1382"/>
      <c r="M729" s="1382"/>
      <c r="N729" s="1383"/>
      <c r="O729" s="1377">
        <v>1133</v>
      </c>
      <c r="P729" s="1378"/>
      <c r="Q729" s="1378"/>
      <c r="R729" s="1378"/>
      <c r="S729" s="1379"/>
      <c r="T729" s="1377">
        <v>235</v>
      </c>
      <c r="U729" s="1378"/>
      <c r="V729" s="1378"/>
      <c r="W729" s="1379"/>
      <c r="X729" s="1358">
        <f t="shared" si="59"/>
        <v>1368</v>
      </c>
      <c r="Y729" s="1359"/>
      <c r="Z729" s="1359"/>
      <c r="AA729" s="1359"/>
      <c r="AB729" s="1360"/>
      <c r="AC729" s="1584">
        <v>0.6</v>
      </c>
      <c r="AD729" s="1585"/>
      <c r="AE729" s="1585"/>
      <c r="AF729" s="1585"/>
      <c r="AG729" s="1586"/>
      <c r="AH729" s="1362">
        <f t="shared" si="60"/>
        <v>0.6</v>
      </c>
      <c r="AI729" s="1363"/>
      <c r="AJ729" s="1364"/>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381"/>
      <c r="L730" s="1382"/>
      <c r="M730" s="1382"/>
      <c r="N730" s="1383"/>
      <c r="O730" s="1377"/>
      <c r="P730" s="1378"/>
      <c r="Q730" s="1378"/>
      <c r="R730" s="1378"/>
      <c r="S730" s="1379"/>
      <c r="T730" s="1377"/>
      <c r="U730" s="1378"/>
      <c r="V730" s="1378"/>
      <c r="W730" s="1379"/>
      <c r="X730" s="1358">
        <f t="shared" si="59"/>
        <v>0</v>
      </c>
      <c r="Y730" s="1359"/>
      <c r="Z730" s="1359"/>
      <c r="AA730" s="1359"/>
      <c r="AB730" s="1360"/>
      <c r="AC730" s="1584"/>
      <c r="AD730" s="1585"/>
      <c r="AE730" s="1585"/>
      <c r="AF730" s="1585"/>
      <c r="AG730" s="1586"/>
      <c r="AH730" s="1362" t="str">
        <f t="shared" si="60"/>
        <v/>
      </c>
      <c r="AI730" s="1363"/>
      <c r="AJ730" s="1364"/>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381"/>
      <c r="L731" s="1382"/>
      <c r="M731" s="1382"/>
      <c r="N731" s="1383"/>
      <c r="O731" s="1377"/>
      <c r="P731" s="1378"/>
      <c r="Q731" s="1378"/>
      <c r="R731" s="1378"/>
      <c r="S731" s="1379"/>
      <c r="T731" s="1377"/>
      <c r="U731" s="1378"/>
      <c r="V731" s="1378"/>
      <c r="W731" s="1379"/>
      <c r="X731" s="1358">
        <f t="shared" si="59"/>
        <v>0</v>
      </c>
      <c r="Y731" s="1359"/>
      <c r="Z731" s="1359"/>
      <c r="AA731" s="1359"/>
      <c r="AB731" s="1360"/>
      <c r="AC731" s="1584"/>
      <c r="AD731" s="1585"/>
      <c r="AE731" s="1585"/>
      <c r="AF731" s="1585"/>
      <c r="AG731" s="1586"/>
      <c r="AH731" s="1362" t="str">
        <f t="shared" si="60"/>
        <v/>
      </c>
      <c r="AI731" s="1363"/>
      <c r="AJ731" s="1364"/>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584"/>
      <c r="AD732" s="1585"/>
      <c r="AE732" s="1585"/>
      <c r="AF732" s="1585"/>
      <c r="AG732" s="1586"/>
      <c r="AH732" s="1362" t="str">
        <f t="shared" si="60"/>
        <v/>
      </c>
      <c r="AI732" s="1363"/>
      <c r="AJ732" s="1364"/>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59"/>
        <v>0</v>
      </c>
      <c r="Y733" s="1359"/>
      <c r="Z733" s="1359"/>
      <c r="AA733" s="1359"/>
      <c r="AB733" s="1360"/>
      <c r="AC733" s="1584"/>
      <c r="AD733" s="1585"/>
      <c r="AE733" s="1585"/>
      <c r="AF733" s="1585"/>
      <c r="AG733" s="1586"/>
      <c r="AH733" s="1362" t="str">
        <f t="shared" si="60"/>
        <v/>
      </c>
      <c r="AI733" s="1363"/>
      <c r="AJ733" s="1364"/>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59"/>
        <v>0</v>
      </c>
      <c r="Y734" s="1359"/>
      <c r="Z734" s="1359"/>
      <c r="AA734" s="1359"/>
      <c r="AB734" s="1360"/>
      <c r="AC734" s="1584"/>
      <c r="AD734" s="1585"/>
      <c r="AE734" s="1585"/>
      <c r="AF734" s="1585"/>
      <c r="AG734" s="1586"/>
      <c r="AH734" s="1362" t="str">
        <f t="shared" si="60"/>
        <v/>
      </c>
      <c r="AI734" s="1363"/>
      <c r="AJ734" s="1364"/>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59"/>
        <v>0</v>
      </c>
      <c r="Y735" s="1359"/>
      <c r="Z735" s="1359"/>
      <c r="AA735" s="1359"/>
      <c r="AB735" s="1360"/>
      <c r="AC735" s="1584"/>
      <c r="AD735" s="1585"/>
      <c r="AE735" s="1585"/>
      <c r="AF735" s="1585"/>
      <c r="AG735" s="1586"/>
      <c r="AH735" s="1362" t="str">
        <f t="shared" si="60"/>
        <v/>
      </c>
      <c r="AI735" s="1363"/>
      <c r="AJ735" s="1364"/>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584"/>
      <c r="AD736" s="1585"/>
      <c r="AE736" s="1585"/>
      <c r="AF736" s="1585"/>
      <c r="AG736" s="1586"/>
      <c r="AH736" s="1362" t="str">
        <f t="shared" si="60"/>
        <v/>
      </c>
      <c r="AI736" s="1363"/>
      <c r="AJ736" s="1364"/>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584"/>
      <c r="AD737" s="1585"/>
      <c r="AE737" s="1585"/>
      <c r="AF737" s="1585"/>
      <c r="AG737" s="1586"/>
      <c r="AH737" s="1362" t="str">
        <f t="shared" si="60"/>
        <v/>
      </c>
      <c r="AI737" s="1363"/>
      <c r="AJ737" s="1364"/>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584"/>
      <c r="AD738" s="1585"/>
      <c r="AE738" s="1585"/>
      <c r="AF738" s="1585"/>
      <c r="AG738" s="1586"/>
      <c r="AH738" s="1362" t="str">
        <f t="shared" si="60"/>
        <v/>
      </c>
      <c r="AI738" s="1363"/>
      <c r="AJ738" s="1364"/>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584"/>
      <c r="AD739" s="1585"/>
      <c r="AE739" s="1585"/>
      <c r="AF739" s="1585"/>
      <c r="AG739" s="1586"/>
      <c r="AH739" s="1362" t="str">
        <f t="shared" si="60"/>
        <v/>
      </c>
      <c r="AI739" s="1363"/>
      <c r="AJ739" s="1364"/>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584"/>
      <c r="AD740" s="1585"/>
      <c r="AE740" s="1585"/>
      <c r="AF740" s="1585"/>
      <c r="AG740" s="1586"/>
      <c r="AH740" s="1362" t="str">
        <f t="shared" si="60"/>
        <v/>
      </c>
      <c r="AI740" s="1363"/>
      <c r="AJ740" s="1364"/>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584"/>
      <c r="AD741" s="1585"/>
      <c r="AE741" s="1585"/>
      <c r="AF741" s="1585"/>
      <c r="AG741" s="1586"/>
      <c r="AH741" s="1362" t="str">
        <f t="shared" si="60"/>
        <v/>
      </c>
      <c r="AI741" s="1363"/>
      <c r="AJ741" s="1364"/>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584"/>
      <c r="AD742" s="1585"/>
      <c r="AE742" s="1585"/>
      <c r="AF742" s="1585"/>
      <c r="AG742" s="1586"/>
      <c r="AH742" s="1362" t="str">
        <f t="shared" si="60"/>
        <v/>
      </c>
      <c r="AI742" s="1363"/>
      <c r="AJ742" s="1364"/>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584"/>
      <c r="AD743" s="1585"/>
      <c r="AE743" s="1585"/>
      <c r="AF743" s="1585"/>
      <c r="AG743" s="1586"/>
      <c r="AH743" s="1362" t="str">
        <f t="shared" si="60"/>
        <v/>
      </c>
      <c r="AI743" s="1363"/>
      <c r="AJ743" s="1364"/>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584"/>
      <c r="AD744" s="1585"/>
      <c r="AE744" s="1585"/>
      <c r="AF744" s="1585"/>
      <c r="AG744" s="1586"/>
      <c r="AH744" s="1362" t="str">
        <f t="shared" si="60"/>
        <v/>
      </c>
      <c r="AI744" s="1363"/>
      <c r="AJ744" s="1364"/>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584"/>
      <c r="AD745" s="1585"/>
      <c r="AE745" s="1585"/>
      <c r="AF745" s="1585"/>
      <c r="AG745" s="1586"/>
      <c r="AH745" s="1362" t="str">
        <f t="shared" si="60"/>
        <v/>
      </c>
      <c r="AI745" s="1363"/>
      <c r="AJ745" s="1364"/>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584"/>
      <c r="AD746" s="1585"/>
      <c r="AE746" s="1585"/>
      <c r="AF746" s="1585"/>
      <c r="AG746" s="1586"/>
      <c r="AH746" s="1362" t="str">
        <f t="shared" si="60"/>
        <v/>
      </c>
      <c r="AI746" s="1363"/>
      <c r="AJ746" s="1364"/>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584"/>
      <c r="AD747" s="1585"/>
      <c r="AE747" s="1585"/>
      <c r="AF747" s="1585"/>
      <c r="AG747" s="1586"/>
      <c r="AH747" s="1362" t="str">
        <f t="shared" si="60"/>
        <v/>
      </c>
      <c r="AI747" s="1363"/>
      <c r="AJ747" s="1364"/>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584"/>
      <c r="AD748" s="1585"/>
      <c r="AE748" s="1585"/>
      <c r="AF748" s="1585"/>
      <c r="AG748" s="1586"/>
      <c r="AH748" s="1362" t="str">
        <f t="shared" si="60"/>
        <v/>
      </c>
      <c r="AI748" s="1363"/>
      <c r="AJ748" s="1364"/>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584"/>
      <c r="AD749" s="1585"/>
      <c r="AE749" s="1585"/>
      <c r="AF749" s="1585"/>
      <c r="AG749" s="1586"/>
      <c r="AH749" s="1362" t="str">
        <f t="shared" si="60"/>
        <v/>
      </c>
      <c r="AI749" s="1363"/>
      <c r="AJ749" s="1364"/>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584"/>
      <c r="AD750" s="1585"/>
      <c r="AE750" s="1585"/>
      <c r="AF750" s="1585"/>
      <c r="AG750" s="1586"/>
      <c r="AH750" s="1362" t="str">
        <f t="shared" si="60"/>
        <v/>
      </c>
      <c r="AI750" s="1363"/>
      <c r="AJ750" s="1364"/>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584"/>
      <c r="AD751" s="1585"/>
      <c r="AE751" s="1585"/>
      <c r="AF751" s="1585"/>
      <c r="AG751" s="1586"/>
      <c r="AH751" s="1362" t="str">
        <f t="shared" si="60"/>
        <v/>
      </c>
      <c r="AI751" s="1363"/>
      <c r="AJ751" s="1364"/>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84"/>
      <c r="AD752" s="1585"/>
      <c r="AE752" s="1585"/>
      <c r="AF752" s="1585"/>
      <c r="AG752" s="1586"/>
      <c r="AH752" s="1362" t="str">
        <f>IF($AC752&gt;0,($X752/$BA701), "")</f>
        <v/>
      </c>
      <c r="AI752" s="1363"/>
      <c r="AJ752" s="1364"/>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0" t="s">
        <v>125</v>
      </c>
      <c r="C753" s="1611"/>
      <c r="D753" s="1611"/>
      <c r="E753" s="1611"/>
      <c r="F753" s="1612"/>
      <c r="G753" s="1760">
        <f>SUM(G718:G752)</f>
        <v>99</v>
      </c>
      <c r="H753" s="1761"/>
      <c r="I753" s="1761"/>
      <c r="J753" s="1762"/>
      <c r="K753" s="937" t="s">
        <v>124</v>
      </c>
      <c r="L753" s="5"/>
      <c r="M753" s="5"/>
      <c r="N753" s="46"/>
      <c r="O753" s="1358">
        <f>SUMPRODUCT(G718:G752,O718:O752)</f>
        <v>74260</v>
      </c>
      <c r="P753" s="1359"/>
      <c r="Q753" s="1359"/>
      <c r="R753" s="1359"/>
      <c r="S753" s="1360"/>
      <c r="T753"/>
      <c r="U753"/>
      <c r="V753"/>
      <c r="W753"/>
      <c r="X753" s="939" t="s">
        <v>916</v>
      </c>
      <c r="Y753" s="938"/>
      <c r="Z753" s="938"/>
      <c r="AA753" s="938"/>
      <c r="AB753" s="940"/>
      <c r="AC753" s="1739">
        <f>BI703</f>
        <v>0.47575757575757577</v>
      </c>
      <c r="AD753" s="1740"/>
      <c r="AE753" s="1740"/>
      <c r="AF753" s="1740"/>
      <c r="AG753" s="1741"/>
      <c r="AH753" s="1739">
        <f>IFERROR(BV703,"")</f>
        <v>0.47584601814295868</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2" t="s">
        <v>2184</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1">
        <f>CS634</f>
        <v>199</v>
      </c>
      <c r="P756" s="1391"/>
      <c r="Q756" s="1391"/>
      <c r="R756" s="1391"/>
      <c r="S756" s="1004"/>
      <c r="T756" s="1004"/>
      <c r="U756" s="118" t="s">
        <v>2183</v>
      </c>
      <c r="V756" s="1067"/>
      <c r="W756" s="1067"/>
      <c r="X756" s="1067"/>
      <c r="Y756" s="1068"/>
      <c r="Z756" s="1068"/>
      <c r="AA756" s="1068"/>
      <c r="AB756" s="1068"/>
      <c r="AC756" s="1067"/>
      <c r="AD756" s="1067"/>
      <c r="AE756" s="1067"/>
      <c r="AF756" s="1067"/>
      <c r="AG756" s="1775"/>
      <c r="AH756" s="1775"/>
      <c r="AI756" s="1775"/>
      <c r="AJ756" s="17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600</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0" t="s">
        <v>390</v>
      </c>
      <c r="K769" s="1369"/>
      <c r="L769" s="1369"/>
      <c r="M769" s="1369"/>
      <c r="N769" s="1370"/>
      <c r="O769" s="1790" t="s">
        <v>286</v>
      </c>
      <c r="P769" s="1790"/>
      <c r="Q769" s="1790"/>
      <c r="R769" s="1790"/>
      <c r="S769" s="1790"/>
      <c r="T769" s="1413" t="s">
        <v>1869</v>
      </c>
      <c r="U769" s="1414"/>
      <c r="V769" s="1414"/>
      <c r="W769" s="1415"/>
      <c r="X769" s="1500" t="s">
        <v>456</v>
      </c>
      <c r="Y769" s="1369"/>
      <c r="Z769" s="1369"/>
      <c r="AA769" s="1369"/>
      <c r="AB769" s="1370"/>
      <c r="AC769" s="150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90"/>
      <c r="P770" s="1790"/>
      <c r="Q770" s="1790"/>
      <c r="R770" s="1790"/>
      <c r="S770" s="1790"/>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90"/>
      <c r="P771" s="1790"/>
      <c r="Q771" s="1790"/>
      <c r="R771" s="1790"/>
      <c r="S771" s="1790"/>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90"/>
      <c r="P772" s="1790"/>
      <c r="Q772" s="1790"/>
      <c r="R772" s="1790"/>
      <c r="S772" s="1790"/>
      <c r="T772" s="1602"/>
      <c r="U772" s="1603"/>
      <c r="V772" s="1603"/>
      <c r="W772" s="160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164</v>
      </c>
      <c r="K773" s="1356"/>
      <c r="L773" s="1356"/>
      <c r="M773" s="1356"/>
      <c r="N773" s="1357"/>
      <c r="O773" s="1485">
        <v>1</v>
      </c>
      <c r="P773" s="1485"/>
      <c r="Q773" s="1485"/>
      <c r="R773" s="1485"/>
      <c r="S773" s="1485"/>
      <c r="T773" s="1381">
        <v>968</v>
      </c>
      <c r="U773" s="1382"/>
      <c r="V773" s="1382"/>
      <c r="W773" s="1383"/>
      <c r="X773" s="1377"/>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5"/>
      <c r="P774" s="1485"/>
      <c r="Q774" s="1485"/>
      <c r="R774" s="1485"/>
      <c r="S774" s="1485"/>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5"/>
      <c r="P775" s="1485"/>
      <c r="Q775" s="1485"/>
      <c r="R775" s="1485"/>
      <c r="S775" s="1485"/>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5"/>
      <c r="P776" s="1485"/>
      <c r="Q776" s="1485"/>
      <c r="R776" s="1485"/>
      <c r="S776" s="1485"/>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0" t="s">
        <v>125</v>
      </c>
      <c r="K777" s="1611"/>
      <c r="L777" s="1611"/>
      <c r="M777" s="1611"/>
      <c r="N777" s="1612"/>
      <c r="O777" s="1398">
        <f>SUM(O773:S776)</f>
        <v>1</v>
      </c>
      <c r="P777" s="1508"/>
      <c r="Q777" s="1508"/>
      <c r="R777" s="1508"/>
      <c r="S777" s="1399"/>
      <c r="X777" s="1610" t="s">
        <v>124</v>
      </c>
      <c r="Y777" s="1611"/>
      <c r="Z777" s="1611"/>
      <c r="AA777" s="1611"/>
      <c r="AB777" s="1612"/>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1" t="s">
        <v>678</v>
      </c>
      <c r="K779" s="145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0" t="s">
        <v>390</v>
      </c>
      <c r="K783" s="1369"/>
      <c r="L783" s="1369"/>
      <c r="M783" s="1369"/>
      <c r="N783" s="1370"/>
      <c r="O783" s="1790" t="s">
        <v>286</v>
      </c>
      <c r="P783" s="1790"/>
      <c r="Q783" s="1790"/>
      <c r="R783" s="1790"/>
      <c r="S783" s="1790"/>
      <c r="T783" s="1413" t="s">
        <v>1869</v>
      </c>
      <c r="U783" s="1414"/>
      <c r="V783" s="1414"/>
      <c r="W783" s="1415"/>
      <c r="X783" s="1500" t="s">
        <v>456</v>
      </c>
      <c r="Y783" s="1369"/>
      <c r="Z783" s="1369"/>
      <c r="AA783" s="1369"/>
      <c r="AB783" s="1370"/>
      <c r="AC783" s="150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90"/>
      <c r="P784" s="1790"/>
      <c r="Q784" s="1790"/>
      <c r="R784" s="1790"/>
      <c r="S784" s="1790"/>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90"/>
      <c r="P785" s="1790"/>
      <c r="Q785" s="1790"/>
      <c r="R785" s="1790"/>
      <c r="S785" s="1790"/>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90"/>
      <c r="P786" s="1790"/>
      <c r="Q786" s="1790"/>
      <c r="R786" s="1790"/>
      <c r="S786" s="1790"/>
      <c r="T786" s="1602"/>
      <c r="U786" s="1603"/>
      <c r="V786" s="1603"/>
      <c r="W786" s="160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5"/>
      <c r="P787" s="1485"/>
      <c r="Q787" s="1485"/>
      <c r="R787" s="1485"/>
      <c r="S787" s="1485"/>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5"/>
      <c r="P788" s="1485"/>
      <c r="Q788" s="1485"/>
      <c r="R788" s="1485"/>
      <c r="S788" s="1485"/>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5"/>
      <c r="P789" s="1485"/>
      <c r="Q789" s="1485"/>
      <c r="R789" s="1485"/>
      <c r="S789" s="1485"/>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5"/>
      <c r="P790" s="1485"/>
      <c r="Q790" s="1485"/>
      <c r="R790" s="1485"/>
      <c r="S790" s="1485"/>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5"/>
      <c r="P791" s="1485"/>
      <c r="Q791" s="1485"/>
      <c r="R791" s="1485"/>
      <c r="S791" s="1485"/>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5"/>
      <c r="P792" s="1485"/>
      <c r="Q792" s="1485"/>
      <c r="R792" s="1485"/>
      <c r="S792" s="1485"/>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5"/>
      <c r="P793" s="1485"/>
      <c r="Q793" s="1485"/>
      <c r="R793" s="1485"/>
      <c r="S793" s="1485"/>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5"/>
      <c r="P794" s="1485"/>
      <c r="Q794" s="1485"/>
      <c r="R794" s="1485"/>
      <c r="S794" s="1485"/>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5"/>
      <c r="P795" s="1485"/>
      <c r="Q795" s="1485"/>
      <c r="R795" s="1485"/>
      <c r="S795" s="1485"/>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5"/>
      <c r="P796" s="1485"/>
      <c r="Q796" s="1485"/>
      <c r="R796" s="1485"/>
      <c r="S796" s="1485"/>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5" t="s">
        <v>478</v>
      </c>
      <c r="BO796" s="1746"/>
      <c r="BP796" s="3"/>
      <c r="BQ796" s="3"/>
      <c r="BR796" s="3"/>
      <c r="BS796" s="14" t="s">
        <v>643</v>
      </c>
      <c r="BT796" s="14"/>
      <c r="BU796" s="14"/>
      <c r="BV796" s="14"/>
      <c r="BW796" s="14"/>
      <c r="BX796" s="14"/>
      <c r="BY796" s="14"/>
      <c r="BZ796" s="14"/>
      <c r="CA796" s="14"/>
      <c r="CB796" s="1742" t="str">
        <f>T189</f>
        <v>San Joaquin</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0" t="s">
        <v>125</v>
      </c>
      <c r="K797" s="1611"/>
      <c r="L797" s="1611"/>
      <c r="M797" s="1611"/>
      <c r="N797" s="1612"/>
      <c r="O797" s="1605">
        <f>SUM(O787:S796)</f>
        <v>0</v>
      </c>
      <c r="P797" s="1605"/>
      <c r="Q797" s="1605"/>
      <c r="R797" s="1605"/>
      <c r="S797" s="1605"/>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74260</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891120</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8"/>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624"/>
      <c r="AB808" s="1624"/>
      <c r="AC808" s="1624"/>
      <c r="AD808" s="16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5">
        <f>'Subsidy Contract Calculation'!J40</f>
        <v>0</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6000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9" t="s">
        <v>335</v>
      </c>
      <c r="Q816" s="1620"/>
      <c r="R816" s="1620"/>
      <c r="S816" s="1620"/>
      <c r="T816" s="1620"/>
      <c r="U816" s="1620"/>
      <c r="V816" s="1620"/>
      <c r="W816" s="1620"/>
      <c r="X816" s="1620"/>
      <c r="Y816" s="1621"/>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5">
        <f>SUM(Z813:AE816)</f>
        <v>6000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5">
        <f>Z817+Y801+Z809</f>
        <v>897120</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3" t="s">
        <v>126</v>
      </c>
      <c r="N823" s="1613"/>
      <c r="O823" s="1613"/>
      <c r="P823" s="1614"/>
      <c r="Q823" s="1622" t="s">
        <v>291</v>
      </c>
      <c r="R823" s="1622"/>
      <c r="S823" s="1622"/>
      <c r="T823" s="1622"/>
      <c r="U823" s="1622" t="s">
        <v>292</v>
      </c>
      <c r="V823" s="1622"/>
      <c r="W823" s="1622"/>
      <c r="X823" s="1622"/>
      <c r="Y823" s="1622" t="s">
        <v>293</v>
      </c>
      <c r="Z823" s="1622"/>
      <c r="AA823" s="1622"/>
      <c r="AB823" s="1622"/>
      <c r="AC823" s="1622" t="s">
        <v>362</v>
      </c>
      <c r="AD823" s="1622"/>
      <c r="AE823" s="1622"/>
      <c r="AF823" s="1622"/>
      <c r="AG823" s="1618" t="s">
        <v>336</v>
      </c>
      <c r="AH823" s="1618"/>
      <c r="AI823" s="1618"/>
      <c r="AJ823" s="161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5"/>
      <c r="N824" s="1615"/>
      <c r="O824" s="1615"/>
      <c r="P824" s="1616"/>
      <c r="Q824" s="1622"/>
      <c r="R824" s="1622"/>
      <c r="S824" s="1622"/>
      <c r="T824" s="1622"/>
      <c r="U824" s="1622"/>
      <c r="V824" s="1622"/>
      <c r="W824" s="1622"/>
      <c r="X824" s="1622"/>
      <c r="Y824" s="1622"/>
      <c r="Z824" s="1622"/>
      <c r="AA824" s="1622"/>
      <c r="AB824" s="1622"/>
      <c r="AC824" s="1622"/>
      <c r="AD824" s="1622"/>
      <c r="AE824" s="1622"/>
      <c r="AF824" s="1622"/>
      <c r="AG824" s="1618"/>
      <c r="AH824" s="1618"/>
      <c r="AI824" s="1618"/>
      <c r="AJ824" s="161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07"/>
      <c r="E825" s="1507"/>
      <c r="F825" s="1507"/>
      <c r="G825" s="1507"/>
      <c r="H825" s="1507"/>
      <c r="I825" s="48"/>
      <c r="J825" s="48"/>
      <c r="K825" s="48"/>
      <c r="L825" s="49"/>
      <c r="M825" s="1597"/>
      <c r="N825" s="1597"/>
      <c r="O825" s="1597"/>
      <c r="P825" s="1597"/>
      <c r="Q825" s="1597">
        <v>34</v>
      </c>
      <c r="R825" s="1597"/>
      <c r="S825" s="1597"/>
      <c r="T825" s="1597"/>
      <c r="U825" s="1597">
        <v>40</v>
      </c>
      <c r="V825" s="1597"/>
      <c r="W825" s="1597"/>
      <c r="X825" s="1597"/>
      <c r="Y825" s="1597">
        <v>45</v>
      </c>
      <c r="Z825" s="1597"/>
      <c r="AA825" s="1597"/>
      <c r="AB825" s="1597"/>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9" t="s">
        <v>41</v>
      </c>
      <c r="D826" s="1448"/>
      <c r="E826" s="1448"/>
      <c r="F826" s="1448"/>
      <c r="G826" s="1448"/>
      <c r="H826" s="1448"/>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9" t="s">
        <v>42</v>
      </c>
      <c r="D827" s="1448"/>
      <c r="E827" s="1448"/>
      <c r="F827" s="1448"/>
      <c r="G827" s="1448"/>
      <c r="H827" s="1448"/>
      <c r="I827" s="60"/>
      <c r="J827" s="60"/>
      <c r="K827" s="60"/>
      <c r="L827" s="61"/>
      <c r="M827" s="1597"/>
      <c r="N827" s="1597"/>
      <c r="O827" s="1597"/>
      <c r="P827" s="1597"/>
      <c r="Q827" s="1597">
        <v>17</v>
      </c>
      <c r="R827" s="1597"/>
      <c r="S827" s="1597"/>
      <c r="T827" s="1597"/>
      <c r="U827" s="1597">
        <v>25</v>
      </c>
      <c r="V827" s="1597"/>
      <c r="W827" s="1597"/>
      <c r="X827" s="1597"/>
      <c r="Y827" s="1597">
        <v>33</v>
      </c>
      <c r="Z827" s="1597"/>
      <c r="AA827" s="1597"/>
      <c r="AB827" s="1597"/>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9" t="s">
        <v>772</v>
      </c>
      <c r="D828" s="1448"/>
      <c r="E828" s="1448"/>
      <c r="F828" s="1448"/>
      <c r="G828" s="1448"/>
      <c r="H828" s="1448"/>
      <c r="I828" s="60"/>
      <c r="J828" s="60"/>
      <c r="K828" s="60"/>
      <c r="L828" s="61"/>
      <c r="M828" s="1597"/>
      <c r="N828" s="1597"/>
      <c r="O828" s="1597"/>
      <c r="P828" s="1597"/>
      <c r="Q828" s="1597">
        <v>65</v>
      </c>
      <c r="R828" s="1597"/>
      <c r="S828" s="1597"/>
      <c r="T828" s="1597"/>
      <c r="U828" s="1597">
        <v>91</v>
      </c>
      <c r="V828" s="1597"/>
      <c r="W828" s="1597"/>
      <c r="X828" s="1597"/>
      <c r="Y828" s="1597">
        <v>116</v>
      </c>
      <c r="Z828" s="1597"/>
      <c r="AA828" s="1597"/>
      <c r="AB828" s="1597"/>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9" t="s">
        <v>468</v>
      </c>
      <c r="D829" s="1448"/>
      <c r="E829" s="1448"/>
      <c r="F829" s="1448"/>
      <c r="G829" s="1448"/>
      <c r="H829" s="1448"/>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3" t="s">
        <v>793</v>
      </c>
      <c r="D830" s="1448"/>
      <c r="E830" s="1448"/>
      <c r="F830" s="1448"/>
      <c r="G830" s="1448"/>
      <c r="H830" s="1448"/>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9" t="s">
        <v>2765</v>
      </c>
      <c r="G831" s="1620"/>
      <c r="H831" s="1620"/>
      <c r="I831" s="1620"/>
      <c r="J831" s="1620"/>
      <c r="K831" s="1620"/>
      <c r="L831" s="1620"/>
      <c r="M831" s="1597"/>
      <c r="N831" s="1597"/>
      <c r="O831" s="1597"/>
      <c r="P831" s="1597"/>
      <c r="Q831" s="1597">
        <v>23</v>
      </c>
      <c r="R831" s="1597"/>
      <c r="S831" s="1597"/>
      <c r="T831" s="1597"/>
      <c r="U831" s="1597">
        <v>32</v>
      </c>
      <c r="V831" s="1597"/>
      <c r="W831" s="1597"/>
      <c r="X831" s="1597"/>
      <c r="Y831" s="1597">
        <v>41</v>
      </c>
      <c r="Z831" s="1597"/>
      <c r="AA831" s="1597"/>
      <c r="AB831" s="1597"/>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0" t="s">
        <v>124</v>
      </c>
      <c r="D832" s="1611"/>
      <c r="E832" s="1611"/>
      <c r="F832" s="1611"/>
      <c r="G832" s="1611"/>
      <c r="H832" s="1611"/>
      <c r="I832" s="1611"/>
      <c r="J832" s="1611"/>
      <c r="K832" s="1611"/>
      <c r="L832" s="1612"/>
      <c r="M832" s="1634">
        <f>SUM(M825:P831)</f>
        <v>0</v>
      </c>
      <c r="N832" s="1634"/>
      <c r="O832" s="1634"/>
      <c r="P832" s="1634"/>
      <c r="Q832" s="1634">
        <f>SUM(Q825:T831)</f>
        <v>139</v>
      </c>
      <c r="R832" s="1634"/>
      <c r="S832" s="1634"/>
      <c r="T832" s="1634"/>
      <c r="U832" s="1634">
        <f>SUM(U825:X831)</f>
        <v>188</v>
      </c>
      <c r="V832" s="1634"/>
      <c r="W832" s="1634"/>
      <c r="X832" s="1634"/>
      <c r="Y832" s="1634">
        <f>SUM(Y825:AB831)</f>
        <v>235</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t="s">
        <v>2766</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7"/>
      <c r="X842" s="1617"/>
      <c r="Y842" s="1617"/>
      <c r="Z842" s="1617"/>
      <c r="AA842" s="1617"/>
      <c r="AB842" s="1617"/>
      <c r="AC842" s="161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7"/>
      <c r="X843" s="1617"/>
      <c r="Y843" s="1617"/>
      <c r="Z843" s="1617"/>
      <c r="AA843" s="1617"/>
      <c r="AB843" s="1617"/>
      <c r="AC843" s="1617"/>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7"/>
      <c r="X844" s="1617"/>
      <c r="Y844" s="1617"/>
      <c r="Z844" s="1617"/>
      <c r="AA844" s="1617"/>
      <c r="AB844" s="1617"/>
      <c r="AC844" s="161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7"/>
      <c r="X845" s="1617"/>
      <c r="Y845" s="1617"/>
      <c r="Z845" s="1617"/>
      <c r="AA845" s="1617"/>
      <c r="AB845" s="1617"/>
      <c r="AC845" s="161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9" t="s">
        <v>2767</v>
      </c>
      <c r="N846" s="1620"/>
      <c r="O846" s="1620"/>
      <c r="P846" s="1620"/>
      <c r="Q846" s="1620"/>
      <c r="R846" s="1620"/>
      <c r="S846" s="1620"/>
      <c r="T846" s="1620"/>
      <c r="U846" s="1620"/>
      <c r="V846" s="1621"/>
      <c r="W846" s="1617">
        <v>150000</v>
      </c>
      <c r="X846" s="1617"/>
      <c r="Y846" s="1617"/>
      <c r="Z846" s="1617"/>
      <c r="AA846" s="1617"/>
      <c r="AB846" s="1617"/>
      <c r="AC846" s="161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5">
        <f>SUM(W842:AC846)</f>
        <v>150000</v>
      </c>
      <c r="X847" s="1628"/>
      <c r="Y847" s="1628"/>
      <c r="Z847" s="1628"/>
      <c r="AA847" s="1628"/>
      <c r="AB847" s="1628"/>
      <c r="AC847" s="162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2"/>
      <c r="BH848" s="1642"/>
      <c r="BI848" s="1642"/>
      <c r="BJ848" s="1642"/>
      <c r="BK848" s="1642"/>
      <c r="BL848" s="164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0" t="s">
        <v>346</v>
      </c>
      <c r="K849" s="1611"/>
      <c r="L849" s="1611"/>
      <c r="M849" s="1611"/>
      <c r="N849" s="1611"/>
      <c r="O849" s="1611"/>
      <c r="P849" s="1611"/>
      <c r="Q849" s="1611"/>
      <c r="R849" s="1611"/>
      <c r="S849" s="1611"/>
      <c r="T849" s="1611"/>
      <c r="U849" s="1611"/>
      <c r="V849" s="1612"/>
      <c r="W849" s="1581">
        <v>88200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6"/>
      <c r="X851" s="1636"/>
      <c r="Y851" s="1636"/>
      <c r="Z851" s="1636"/>
      <c r="AA851" s="1636"/>
      <c r="AB851" s="1636"/>
      <c r="AC851" s="1636"/>
      <c r="AZ851" s="1637">
        <f>SUM(AZ818:AZ846)</f>
        <v>0</v>
      </c>
      <c r="BA851" s="163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6"/>
      <c r="X852" s="1636"/>
      <c r="Y852" s="1636"/>
      <c r="Z852" s="1636"/>
      <c r="AA852" s="1636"/>
      <c r="AB852" s="1636"/>
      <c r="AC852" s="163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6">
        <v>75000</v>
      </c>
      <c r="X853" s="1636"/>
      <c r="Y853" s="1636"/>
      <c r="Z853" s="1636"/>
      <c r="AA853" s="1636"/>
      <c r="AB853" s="1636"/>
      <c r="AC853" s="163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6"/>
      <c r="X854" s="1636"/>
      <c r="Y854" s="1636"/>
      <c r="Z854" s="1636"/>
      <c r="AA854" s="1636"/>
      <c r="AB854" s="1636"/>
      <c r="AC854" s="16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3">
        <f>SUM(W851:AC854)</f>
        <v>75000</v>
      </c>
      <c r="X855" s="1633"/>
      <c r="Y855" s="1633"/>
      <c r="Z855" s="1633"/>
      <c r="AA855" s="1633"/>
      <c r="AB855" s="1633"/>
      <c r="AC855" s="163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6">
        <v>81500</v>
      </c>
      <c r="X857" s="1607"/>
      <c r="Y857" s="1607"/>
      <c r="Z857" s="1607"/>
      <c r="AA857" s="1607"/>
      <c r="AB857" s="1607"/>
      <c r="AC857" s="160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3"/>
      <c r="U858" s="1577"/>
      <c r="V858" s="16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6"/>
      <c r="X859" s="1607"/>
      <c r="Y859" s="1607"/>
      <c r="Z859" s="1607"/>
      <c r="AA859" s="1607"/>
      <c r="AB859" s="1607"/>
      <c r="AC859" s="160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3"/>
      <c r="U860" s="1577"/>
      <c r="V860" s="16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9" t="s">
        <v>335</v>
      </c>
      <c r="N861" s="1620"/>
      <c r="O861" s="1620"/>
      <c r="P861" s="1620"/>
      <c r="Q861" s="1620"/>
      <c r="R861" s="1620"/>
      <c r="S861" s="1620"/>
      <c r="T861" s="1620"/>
      <c r="U861" s="1620"/>
      <c r="V861" s="1621"/>
      <c r="W861" s="1606"/>
      <c r="X861" s="1607"/>
      <c r="Y861" s="1607"/>
      <c r="Z861" s="1607"/>
      <c r="AA861" s="1607"/>
      <c r="AB861" s="1607"/>
      <c r="AC861" s="160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5">
        <f>SUM(W857:AC861)</f>
        <v>81500</v>
      </c>
      <c r="X862" s="1646"/>
      <c r="Y862" s="1646"/>
      <c r="Z862" s="1646"/>
      <c r="AA862" s="1646"/>
      <c r="AB862" s="1646"/>
      <c r="AC862" s="16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6">
        <v>105000</v>
      </c>
      <c r="X863" s="1607"/>
      <c r="Y863" s="1607"/>
      <c r="Z863" s="1607"/>
      <c r="AA863" s="1607"/>
      <c r="AB863" s="1607"/>
      <c r="AC863" s="160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7">
        <v>100000</v>
      </c>
      <c r="X865" s="1617"/>
      <c r="Y865" s="1617"/>
      <c r="Z865" s="1617"/>
      <c r="AA865" s="1617"/>
      <c r="AB865" s="1617"/>
      <c r="AC865" s="161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7"/>
      <c r="X866" s="1617"/>
      <c r="Y866" s="1617"/>
      <c r="Z866" s="1617"/>
      <c r="AA866" s="1617"/>
      <c r="AB866" s="1617"/>
      <c r="AC866" s="161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7"/>
      <c r="X867" s="1617"/>
      <c r="Y867" s="1617"/>
      <c r="Z867" s="1617"/>
      <c r="AA867" s="1617"/>
      <c r="AB867" s="1617"/>
      <c r="AC867" s="161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7"/>
      <c r="X868" s="1617"/>
      <c r="Y868" s="1617"/>
      <c r="Z868" s="1617"/>
      <c r="AA868" s="1617"/>
      <c r="AB868" s="1617"/>
      <c r="AC868" s="161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7"/>
      <c r="X869" s="1617"/>
      <c r="Y869" s="1617"/>
      <c r="Z869" s="1617"/>
      <c r="AA869" s="1617"/>
      <c r="AB869" s="1617"/>
      <c r="AC869" s="161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7"/>
      <c r="X870" s="1617"/>
      <c r="Y870" s="1617"/>
      <c r="Z870" s="1617"/>
      <c r="AA870" s="1617"/>
      <c r="AB870" s="1617"/>
      <c r="AC870" s="161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9" t="s">
        <v>335</v>
      </c>
      <c r="N871" s="1620"/>
      <c r="O871" s="1620"/>
      <c r="P871" s="1620"/>
      <c r="Q871" s="1620"/>
      <c r="R871" s="1620"/>
      <c r="S871" s="1620"/>
      <c r="T871" s="1620"/>
      <c r="U871" s="1620"/>
      <c r="V871" s="1621"/>
      <c r="W871" s="1617"/>
      <c r="X871" s="1617"/>
      <c r="Y871" s="1617"/>
      <c r="Z871" s="1617"/>
      <c r="AA871" s="1617"/>
      <c r="AB871" s="1617"/>
      <c r="AC871" s="161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9">
        <f>SUM(W865:AC871)</f>
        <v>100000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9" t="s">
        <v>2768</v>
      </c>
      <c r="N874" s="1620"/>
      <c r="O874" s="1620"/>
      <c r="P874" s="1620"/>
      <c r="Q874" s="1620"/>
      <c r="R874" s="1620"/>
      <c r="S874" s="1620"/>
      <c r="T874" s="1620"/>
      <c r="U874" s="1620"/>
      <c r="V874" s="1621"/>
      <c r="W874" s="1581">
        <v>3000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9" t="s">
        <v>335</v>
      </c>
      <c r="N875" s="1620"/>
      <c r="O875" s="1620"/>
      <c r="P875" s="1620"/>
      <c r="Q875" s="1620"/>
      <c r="R875" s="1620"/>
      <c r="S875" s="1620"/>
      <c r="T875" s="1620"/>
      <c r="U875" s="1620"/>
      <c r="V875" s="1621"/>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9" t="s">
        <v>335</v>
      </c>
      <c r="N876" s="1620"/>
      <c r="O876" s="1620"/>
      <c r="P876" s="1620"/>
      <c r="Q876" s="1620"/>
      <c r="R876" s="1620"/>
      <c r="S876" s="1620"/>
      <c r="T876" s="1620"/>
      <c r="U876" s="1620"/>
      <c r="V876" s="1621"/>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9" t="s">
        <v>335</v>
      </c>
      <c r="N877" s="1620"/>
      <c r="O877" s="1620"/>
      <c r="P877" s="1620"/>
      <c r="Q877" s="1620"/>
      <c r="R877" s="1620"/>
      <c r="S877" s="1620"/>
      <c r="T877" s="1620"/>
      <c r="U877" s="1620"/>
      <c r="V877" s="1621"/>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9" t="s">
        <v>335</v>
      </c>
      <c r="N878" s="1620"/>
      <c r="O878" s="1620"/>
      <c r="P878" s="1620"/>
      <c r="Q878" s="1620"/>
      <c r="R878" s="1620"/>
      <c r="S878" s="1620"/>
      <c r="T878" s="1620"/>
      <c r="U878" s="1620"/>
      <c r="V878" s="1621"/>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5">
        <f>SUM(W874:AC878)</f>
        <v>3000</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8">
        <f>W847+W855+W862+W863+W872+W879+W849</f>
        <v>602700</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6">
        <f>O797+O777+G753</f>
        <v>100</v>
      </c>
      <c r="AD884" s="1626"/>
      <c r="AE884" s="1626"/>
      <c r="AF884" s="1626"/>
      <c r="AG884" s="1626"/>
      <c r="AH884" s="162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5" t="s">
        <v>32</v>
      </c>
      <c r="F885" s="1755"/>
      <c r="G885" s="1755"/>
      <c r="H885" s="1755"/>
      <c r="I885" s="1755"/>
      <c r="J885" s="1755"/>
      <c r="K885" s="1755"/>
      <c r="L885" s="1755"/>
      <c r="M885" s="1755"/>
      <c r="N885" s="1755"/>
      <c r="O885" s="1755"/>
      <c r="P885" s="1755"/>
      <c r="Q885" s="1755"/>
      <c r="R885" s="1755"/>
      <c r="S885" s="1755"/>
      <c r="T885" s="1755"/>
      <c r="U885" s="1755"/>
      <c r="V885" s="1755"/>
      <c r="W885" s="1755"/>
      <c r="X885" s="1755"/>
      <c r="Y885" s="1755"/>
      <c r="Z885" s="1755"/>
      <c r="AA885" s="1755"/>
      <c r="AB885" s="1756"/>
      <c r="AC885" s="1609">
        <f>IF(ISERROR((ROUNDDOWN(AC883/AC884,0))),0,(ROUNDDOWN(AC883/AC884,0)))</f>
        <v>6027</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8"/>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3"/>
      <c r="AD887" s="1617"/>
      <c r="AE887" s="1617"/>
      <c r="AF887" s="1617"/>
      <c r="AG887" s="1617"/>
      <c r="AH887" s="161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v>22800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50000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8"/>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976</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617"/>
      <c r="AD893" s="1617"/>
      <c r="AE893" s="1617"/>
      <c r="AF893" s="1617"/>
      <c r="AG893" s="1617"/>
      <c r="AH893" s="161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976</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617"/>
      <c r="AD894" s="1617"/>
      <c r="AE894" s="1617"/>
      <c r="AF894" s="1617"/>
      <c r="AG894" s="1617"/>
      <c r="AH894" s="161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41"/>
      <c r="BE898" s="16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41"/>
      <c r="BE899" s="16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42"/>
      <c r="BE900" s="164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5">
        <f>Z898-(Z899+Z900)</f>
        <v>0</v>
      </c>
      <c r="AA901" s="1628"/>
      <c r="AB901" s="1628"/>
      <c r="AC901" s="1628"/>
      <c r="AD901" s="1628"/>
      <c r="AE901" s="1629"/>
      <c r="AZ901" s="34"/>
      <c r="BB901" s="30"/>
      <c r="BC901" s="850"/>
      <c r="BD901" s="1642"/>
      <c r="BE901" s="164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2"/>
      <c r="BE902" s="164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1"/>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2"/>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1"/>
      <c r="BE907" s="164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41"/>
      <c r="BE909" s="164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8" t="s">
        <v>802</v>
      </c>
      <c r="G914" s="1849"/>
      <c r="H914" s="1849"/>
      <c r="I914" s="1849"/>
      <c r="J914" s="1849"/>
      <c r="K914" s="1849"/>
      <c r="L914" s="1849"/>
      <c r="M914" s="1849"/>
      <c r="N914" s="1849"/>
      <c r="O914" s="1849"/>
      <c r="P914" s="1849"/>
      <c r="Q914" s="1849"/>
      <c r="R914" s="1849"/>
      <c r="S914" s="1849"/>
      <c r="T914" s="1850"/>
      <c r="U914" s="1652" t="s">
        <v>31</v>
      </c>
      <c r="V914" s="1613"/>
      <c r="W914" s="1613"/>
      <c r="X914" s="1613"/>
      <c r="Y914" s="1613"/>
      <c r="Z914" s="16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828</v>
      </c>
      <c r="G915" s="1654"/>
      <c r="H915" s="1654"/>
      <c r="I915" s="1654"/>
      <c r="J915" s="1654"/>
      <c r="K915" s="1654"/>
      <c r="L915" s="1654"/>
      <c r="M915" s="1654"/>
      <c r="N915" s="1654"/>
      <c r="O915" s="1654"/>
      <c r="P915" s="1654"/>
      <c r="Q915" s="1654"/>
      <c r="R915" s="1654"/>
      <c r="S915" s="1654"/>
      <c r="T915" s="1829"/>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15"/>
      <c r="H916" s="1615"/>
      <c r="I916" s="1615"/>
      <c r="J916" s="1615"/>
      <c r="K916" s="1615"/>
      <c r="L916" s="1615"/>
      <c r="M916" s="1615"/>
      <c r="N916" s="1615"/>
      <c r="O916" s="1615"/>
      <c r="P916" s="1615"/>
      <c r="Q916" s="1615"/>
      <c r="R916" s="1615"/>
      <c r="S916" s="1615"/>
      <c r="T916" s="1616"/>
      <c r="U916" s="1655"/>
      <c r="V916" s="1615"/>
      <c r="W916" s="1615"/>
      <c r="X916" s="1615"/>
      <c r="Y916" s="1615"/>
      <c r="Z916" s="1615"/>
      <c r="AA916" s="108"/>
      <c r="AB916" s="1492" t="s">
        <v>392</v>
      </c>
      <c r="AC916" s="1492"/>
      <c r="AD916" s="1492"/>
      <c r="AE916" s="149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8" t="s">
        <v>554</v>
      </c>
      <c r="V917" s="1400"/>
      <c r="W917" s="1400"/>
      <c r="X917" s="1400"/>
      <c r="Y917" s="1400"/>
      <c r="Z917" s="1401"/>
      <c r="AA917" s="1639">
        <f>+AM554</f>
        <v>38323293</v>
      </c>
      <c r="AB917" s="1531"/>
      <c r="AC917" s="1531"/>
      <c r="AD917" s="1531"/>
      <c r="AE917" s="1531"/>
      <c r="AF917" s="16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8" t="s">
        <v>600</v>
      </c>
      <c r="V918" s="1400"/>
      <c r="W918" s="1400"/>
      <c r="X918" s="1400"/>
      <c r="Y918" s="1400"/>
      <c r="Z918" s="1401"/>
      <c r="AA918" s="1639"/>
      <c r="AB918" s="1531"/>
      <c r="AC918" s="1531"/>
      <c r="AD918" s="1531"/>
      <c r="AE918" s="1531"/>
      <c r="AF918" s="16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8" t="s">
        <v>600</v>
      </c>
      <c r="V919" s="1400"/>
      <c r="W919" s="1400"/>
      <c r="X919" s="1400"/>
      <c r="Y919" s="1400"/>
      <c r="Z919" s="1401"/>
      <c r="AA919" s="1639"/>
      <c r="AB919" s="1531"/>
      <c r="AC919" s="1531"/>
      <c r="AD919" s="1531"/>
      <c r="AE919" s="1531"/>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8" t="s">
        <v>600</v>
      </c>
      <c r="V920" s="1400"/>
      <c r="W920" s="1400"/>
      <c r="X920" s="1400"/>
      <c r="Y920" s="1400"/>
      <c r="Z920" s="1401"/>
      <c r="AA920" s="1639"/>
      <c r="AB920" s="1531"/>
      <c r="AC920" s="1531"/>
      <c r="AD920" s="1531"/>
      <c r="AE920" s="1531"/>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8" t="s">
        <v>600</v>
      </c>
      <c r="V921" s="1400"/>
      <c r="W921" s="1400"/>
      <c r="X921" s="1400"/>
      <c r="Y921" s="1400"/>
      <c r="Z921" s="1401"/>
      <c r="AA921" s="1639"/>
      <c r="AB921" s="1531"/>
      <c r="AC921" s="1531"/>
      <c r="AD921" s="1531"/>
      <c r="AE921" s="1531"/>
      <c r="AF921" s="16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8" t="s">
        <v>600</v>
      </c>
      <c r="V922" s="1400"/>
      <c r="W922" s="1400"/>
      <c r="X922" s="1400"/>
      <c r="Y922" s="1400"/>
      <c r="Z922" s="1401"/>
      <c r="AA922" s="1639"/>
      <c r="AB922" s="1531"/>
      <c r="AC922" s="1531"/>
      <c r="AD922" s="1531"/>
      <c r="AE922" s="1531"/>
      <c r="AF922" s="16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8" t="s">
        <v>600</v>
      </c>
      <c r="V923" s="1400"/>
      <c r="W923" s="1400"/>
      <c r="X923" s="1400"/>
      <c r="Y923" s="1400"/>
      <c r="Z923" s="1401"/>
      <c r="AA923" s="1639"/>
      <c r="AB923" s="1531"/>
      <c r="AC923" s="1531"/>
      <c r="AD923" s="1531"/>
      <c r="AE923" s="1531"/>
      <c r="AF923" s="16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8" t="s">
        <v>600</v>
      </c>
      <c r="V924" s="1400"/>
      <c r="W924" s="1400"/>
      <c r="X924" s="1400"/>
      <c r="Y924" s="1400"/>
      <c r="Z924" s="1401"/>
      <c r="AA924" s="1639"/>
      <c r="AB924" s="1531"/>
      <c r="AC924" s="1531"/>
      <c r="AD924" s="1531"/>
      <c r="AE924" s="1531"/>
      <c r="AF924" s="16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6" t="s">
        <v>2558</v>
      </c>
      <c r="G925" s="1657"/>
      <c r="H925" s="1657"/>
      <c r="I925" s="1657"/>
      <c r="J925" s="1657"/>
      <c r="K925" s="1657"/>
      <c r="L925" s="1657"/>
      <c r="M925" s="1657"/>
      <c r="N925" s="1657"/>
      <c r="O925" s="1657"/>
      <c r="P925" s="1657"/>
      <c r="Q925" s="1657"/>
      <c r="R925" s="1657"/>
      <c r="S925" s="1657"/>
      <c r="T925" s="1658"/>
      <c r="U925" s="1638" t="s">
        <v>600</v>
      </c>
      <c r="V925" s="1400"/>
      <c r="W925" s="1400"/>
      <c r="X925" s="1400"/>
      <c r="Y925" s="1400"/>
      <c r="Z925" s="1401"/>
      <c r="AA925" s="1639"/>
      <c r="AB925" s="1531"/>
      <c r="AC925" s="1531"/>
      <c r="AD925" s="1531"/>
      <c r="AE925" s="1531"/>
      <c r="AF925" s="16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6" t="s">
        <v>688</v>
      </c>
      <c r="G926" s="1657"/>
      <c r="H926" s="1657"/>
      <c r="I926" s="1657"/>
      <c r="J926" s="1657"/>
      <c r="K926" s="1657"/>
      <c r="L926" s="1657"/>
      <c r="M926" s="1657"/>
      <c r="N926" s="1657"/>
      <c r="O926" s="1657"/>
      <c r="P926" s="1657"/>
      <c r="Q926" s="1657"/>
      <c r="R926" s="1657"/>
      <c r="S926" s="1657"/>
      <c r="T926" s="1658"/>
      <c r="U926" s="1638" t="s">
        <v>600</v>
      </c>
      <c r="V926" s="1400"/>
      <c r="W926" s="1400"/>
      <c r="X926" s="1400"/>
      <c r="Y926" s="1400"/>
      <c r="Z926" s="1401"/>
      <c r="AA926" s="1639"/>
      <c r="AB926" s="1531"/>
      <c r="AC926" s="1531"/>
      <c r="AD926" s="1531"/>
      <c r="AE926" s="1531"/>
      <c r="AF926" s="16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6" t="s">
        <v>2559</v>
      </c>
      <c r="G927" s="1657"/>
      <c r="H927" s="1657"/>
      <c r="I927" s="1657"/>
      <c r="J927" s="1657"/>
      <c r="K927" s="1657"/>
      <c r="L927" s="1657"/>
      <c r="M927" s="1657"/>
      <c r="N927" s="1657"/>
      <c r="O927" s="1657"/>
      <c r="P927" s="1657"/>
      <c r="Q927" s="1657"/>
      <c r="R927" s="1657"/>
      <c r="S927" s="1657"/>
      <c r="T927" s="1658"/>
      <c r="U927" s="1638" t="s">
        <v>600</v>
      </c>
      <c r="V927" s="1400"/>
      <c r="W927" s="1400"/>
      <c r="X927" s="1400"/>
      <c r="Y927" s="1400"/>
      <c r="Z927" s="1401"/>
      <c r="AA927" s="1639"/>
      <c r="AB927" s="1531"/>
      <c r="AC927" s="1531"/>
      <c r="AD927" s="1531"/>
      <c r="AE927" s="1531"/>
      <c r="AF927" s="16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6" t="s">
        <v>2560</v>
      </c>
      <c r="G928" s="1657"/>
      <c r="H928" s="1657"/>
      <c r="I928" s="1657"/>
      <c r="J928" s="1657"/>
      <c r="K928" s="1657"/>
      <c r="L928" s="1657"/>
      <c r="M928" s="1657"/>
      <c r="N928" s="1657"/>
      <c r="O928" s="1657"/>
      <c r="P928" s="1657"/>
      <c r="Q928" s="1657"/>
      <c r="R928" s="1657"/>
      <c r="S928" s="1657"/>
      <c r="T928" s="1658"/>
      <c r="U928" s="1638" t="s">
        <v>600</v>
      </c>
      <c r="V928" s="1400"/>
      <c r="W928" s="1400"/>
      <c r="X928" s="1400"/>
      <c r="Y928" s="1400"/>
      <c r="Z928" s="1401"/>
      <c r="AA928" s="1639"/>
      <c r="AB928" s="1531"/>
      <c r="AC928" s="1531"/>
      <c r="AD928" s="1531"/>
      <c r="AE928" s="1531"/>
      <c r="AF928" s="16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6" t="s">
        <v>2561</v>
      </c>
      <c r="G929" s="1657"/>
      <c r="H929" s="1657"/>
      <c r="I929" s="1657"/>
      <c r="J929" s="1657"/>
      <c r="K929" s="1657"/>
      <c r="L929" s="1657"/>
      <c r="M929" s="1657"/>
      <c r="N929" s="1657"/>
      <c r="O929" s="1657"/>
      <c r="P929" s="1657"/>
      <c r="Q929" s="1657"/>
      <c r="R929" s="1657"/>
      <c r="S929" s="1657"/>
      <c r="T929" s="1658"/>
      <c r="U929" s="1638" t="s">
        <v>600</v>
      </c>
      <c r="V929" s="1400"/>
      <c r="W929" s="1400"/>
      <c r="X929" s="1400"/>
      <c r="Y929" s="1400"/>
      <c r="Z929" s="1401"/>
      <c r="AA929" s="1639"/>
      <c r="AB929" s="1531"/>
      <c r="AC929" s="1531"/>
      <c r="AD929" s="1531"/>
      <c r="AE929" s="1531"/>
      <c r="AF929" s="16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6" t="s">
        <v>2562</v>
      </c>
      <c r="G930" s="1657"/>
      <c r="H930" s="1657"/>
      <c r="I930" s="1657"/>
      <c r="J930" s="1657"/>
      <c r="K930" s="1657"/>
      <c r="L930" s="1657"/>
      <c r="M930" s="1657"/>
      <c r="N930" s="1657"/>
      <c r="O930" s="1657"/>
      <c r="P930" s="1657"/>
      <c r="Q930" s="1657"/>
      <c r="R930" s="1657"/>
      <c r="S930" s="1657"/>
      <c r="T930" s="1658"/>
      <c r="U930" s="1638" t="s">
        <v>600</v>
      </c>
      <c r="V930" s="1400"/>
      <c r="W930" s="1400"/>
      <c r="X930" s="1400"/>
      <c r="Y930" s="1400"/>
      <c r="Z930" s="1401"/>
      <c r="AA930" s="1639"/>
      <c r="AB930" s="1531"/>
      <c r="AC930" s="1531"/>
      <c r="AD930" s="1531"/>
      <c r="AE930" s="1531"/>
      <c r="AF930" s="16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6" t="s">
        <v>2563</v>
      </c>
      <c r="G931" s="1657"/>
      <c r="H931" s="1657"/>
      <c r="I931" s="1657"/>
      <c r="J931" s="1657"/>
      <c r="K931" s="1657"/>
      <c r="L931" s="1657"/>
      <c r="M931" s="1657"/>
      <c r="N931" s="1657"/>
      <c r="O931" s="1657"/>
      <c r="P931" s="1657"/>
      <c r="Q931" s="1657"/>
      <c r="R931" s="1657"/>
      <c r="S931" s="1657"/>
      <c r="T931" s="1658"/>
      <c r="U931" s="1638" t="s">
        <v>600</v>
      </c>
      <c r="V931" s="1400"/>
      <c r="W931" s="1400"/>
      <c r="X931" s="1400"/>
      <c r="Y931" s="1400"/>
      <c r="Z931" s="1401"/>
      <c r="AA931" s="1639"/>
      <c r="AB931" s="1531"/>
      <c r="AC931" s="1531"/>
      <c r="AD931" s="1531"/>
      <c r="AE931" s="1531"/>
      <c r="AF931" s="16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8" t="s">
        <v>600</v>
      </c>
      <c r="V932" s="1400"/>
      <c r="W932" s="1400"/>
      <c r="X932" s="1400"/>
      <c r="Y932" s="1400"/>
      <c r="Z932" s="1401"/>
      <c r="AA932" s="1639"/>
      <c r="AB932" s="1531"/>
      <c r="AC932" s="1531"/>
      <c r="AD932" s="1531"/>
      <c r="AE932" s="1531"/>
      <c r="AF932" s="16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8" t="s">
        <v>600</v>
      </c>
      <c r="V933" s="1400"/>
      <c r="W933" s="1400"/>
      <c r="X933" s="1400"/>
      <c r="Y933" s="1400"/>
      <c r="Z933" s="1401"/>
      <c r="AA933" s="1639"/>
      <c r="AB933" s="1531"/>
      <c r="AC933" s="1531"/>
      <c r="AD933" s="1531"/>
      <c r="AE933" s="1531"/>
      <c r="AF933" s="16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8" t="s">
        <v>600</v>
      </c>
      <c r="V934" s="1400"/>
      <c r="W934" s="1400"/>
      <c r="X934" s="1400"/>
      <c r="Y934" s="1400"/>
      <c r="Z934" s="1401"/>
      <c r="AA934" s="1639"/>
      <c r="AB934" s="1531"/>
      <c r="AC934" s="1531"/>
      <c r="AD934" s="1531"/>
      <c r="AE934" s="1531"/>
      <c r="AF934" s="16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7" t="s">
        <v>2567</v>
      </c>
      <c r="G935" s="1678"/>
      <c r="H935" s="1678"/>
      <c r="I935" s="1678"/>
      <c r="J935" s="1678"/>
      <c r="K935" s="1678"/>
      <c r="L935" s="1678"/>
      <c r="M935" s="1678"/>
      <c r="N935" s="1678"/>
      <c r="O935" s="1678"/>
      <c r="P935" s="1678"/>
      <c r="Q935" s="1678"/>
      <c r="R935" s="1678"/>
      <c r="S935" s="1678"/>
      <c r="T935" s="1679"/>
      <c r="U935" s="1638" t="s">
        <v>600</v>
      </c>
      <c r="V935" s="1400"/>
      <c r="W935" s="1400"/>
      <c r="X935" s="1400"/>
      <c r="Y935" s="1400"/>
      <c r="Z935" s="1401"/>
      <c r="AA935" s="1639"/>
      <c r="AB935" s="1531"/>
      <c r="AC935" s="1531"/>
      <c r="AD935" s="1531"/>
      <c r="AE935" s="1531"/>
      <c r="AF935" s="16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7" t="s">
        <v>2568</v>
      </c>
      <c r="G936" s="1678"/>
      <c r="H936" s="1678"/>
      <c r="I936" s="1678"/>
      <c r="J936" s="1678"/>
      <c r="K936" s="1678"/>
      <c r="L936" s="1678"/>
      <c r="M936" s="1678"/>
      <c r="N936" s="1678"/>
      <c r="O936" s="1678"/>
      <c r="P936" s="1678"/>
      <c r="Q936" s="1678"/>
      <c r="R936" s="1678"/>
      <c r="S936" s="1678"/>
      <c r="T936" s="1679"/>
      <c r="U936" s="1638" t="s">
        <v>600</v>
      </c>
      <c r="V936" s="1400"/>
      <c r="W936" s="1400"/>
      <c r="X936" s="1400"/>
      <c r="Y936" s="1400"/>
      <c r="Z936" s="1401"/>
      <c r="AA936" s="1639"/>
      <c r="AB936" s="1531"/>
      <c r="AC936" s="1531"/>
      <c r="AD936" s="1531"/>
      <c r="AE936" s="1531"/>
      <c r="AF936" s="16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6" t="s">
        <v>2564</v>
      </c>
      <c r="G937" s="1657"/>
      <c r="H937" s="1657"/>
      <c r="I937" s="1657"/>
      <c r="J937" s="1657"/>
      <c r="K937" s="1657"/>
      <c r="L937" s="1657"/>
      <c r="M937" s="1657"/>
      <c r="N937" s="1657"/>
      <c r="O937" s="1657"/>
      <c r="P937" s="1657"/>
      <c r="Q937" s="1657"/>
      <c r="R937" s="1657"/>
      <c r="S937" s="1657"/>
      <c r="T937" s="1658"/>
      <c r="U937" s="1638" t="s">
        <v>554</v>
      </c>
      <c r="V937" s="1400"/>
      <c r="W937" s="1400"/>
      <c r="X937" s="1400"/>
      <c r="Y937" s="1400"/>
      <c r="Z937" s="1401"/>
      <c r="AA937" s="1639">
        <f>+AO629</f>
        <v>21798150</v>
      </c>
      <c r="AB937" s="1531"/>
      <c r="AC937" s="1531"/>
      <c r="AD937" s="1531"/>
      <c r="AE937" s="1531"/>
      <c r="AF937" s="16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6" t="s">
        <v>2565</v>
      </c>
      <c r="G938" s="1657"/>
      <c r="H938" s="1657"/>
      <c r="I938" s="1657"/>
      <c r="J938" s="1657"/>
      <c r="K938" s="1657"/>
      <c r="L938" s="1657"/>
      <c r="M938" s="1657"/>
      <c r="N938" s="1657"/>
      <c r="O938" s="1657"/>
      <c r="P938" s="1657"/>
      <c r="Q938" s="1657"/>
      <c r="R938" s="1657"/>
      <c r="S938" s="1657"/>
      <c r="T938" s="1658"/>
      <c r="U938" s="1638" t="s">
        <v>600</v>
      </c>
      <c r="V938" s="1400"/>
      <c r="W938" s="1400"/>
      <c r="X938" s="1400"/>
      <c r="Y938" s="1400"/>
      <c r="Z938" s="140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6" t="s">
        <v>2566</v>
      </c>
      <c r="G939" s="1657"/>
      <c r="H939" s="1657"/>
      <c r="I939" s="1657"/>
      <c r="J939" s="1657"/>
      <c r="K939" s="1657"/>
      <c r="L939" s="1657"/>
      <c r="M939" s="1657"/>
      <c r="N939" s="1657"/>
      <c r="O939" s="1657"/>
      <c r="P939" s="1657"/>
      <c r="Q939" s="1657"/>
      <c r="R939" s="1657"/>
      <c r="S939" s="1657"/>
      <c r="T939" s="1658"/>
      <c r="U939" s="1638" t="s">
        <v>600</v>
      </c>
      <c r="V939" s="1400"/>
      <c r="W939" s="1400"/>
      <c r="X939" s="1400"/>
      <c r="Y939" s="1400"/>
      <c r="Z939" s="140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8" t="s">
        <v>600</v>
      </c>
      <c r="V940" s="1400"/>
      <c r="W940" s="1400"/>
      <c r="X940" s="1400"/>
      <c r="Y940" s="1400"/>
      <c r="Z940" s="1401"/>
      <c r="AA940" s="1639"/>
      <c r="AB940" s="1531"/>
      <c r="AC940" s="1531"/>
      <c r="AD940" s="1531"/>
      <c r="AE940" s="1531"/>
      <c r="AF940" s="16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7" t="s">
        <v>2569</v>
      </c>
      <c r="G941" s="1678"/>
      <c r="H941" s="1678"/>
      <c r="I941" s="1678"/>
      <c r="J941" s="1678"/>
      <c r="K941" s="1678"/>
      <c r="L941" s="1678"/>
      <c r="M941" s="1678"/>
      <c r="N941" s="1678"/>
      <c r="O941" s="1678"/>
      <c r="P941" s="1678"/>
      <c r="Q941" s="1678"/>
      <c r="R941" s="1678"/>
      <c r="S941" s="1678"/>
      <c r="T941" s="1679"/>
      <c r="U941" s="1638" t="s">
        <v>600</v>
      </c>
      <c r="V941" s="1400"/>
      <c r="W941" s="1400"/>
      <c r="X941" s="1400"/>
      <c r="Y941" s="1400"/>
      <c r="Z941" s="1401"/>
      <c r="AA941" s="1639"/>
      <c r="AB941" s="1531"/>
      <c r="AC941" s="1531"/>
      <c r="AD941" s="1531"/>
      <c r="AE941" s="1531"/>
      <c r="AF941" s="16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8" t="s">
        <v>600</v>
      </c>
      <c r="V942" s="1400"/>
      <c r="W942" s="1400"/>
      <c r="X942" s="1400"/>
      <c r="Y942" s="1400"/>
      <c r="Z942" s="1401"/>
      <c r="AA942" s="1639"/>
      <c r="AB942" s="1531"/>
      <c r="AC942" s="1531"/>
      <c r="AD942" s="1531"/>
      <c r="AE942" s="1531"/>
      <c r="AF942" s="16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7" t="s">
        <v>2570</v>
      </c>
      <c r="G943" s="1678"/>
      <c r="H943" s="1678"/>
      <c r="I943" s="1678"/>
      <c r="J943" s="1678"/>
      <c r="K943" s="1678"/>
      <c r="L943" s="1678"/>
      <c r="M943" s="1678"/>
      <c r="N943" s="1678"/>
      <c r="O943" s="1678"/>
      <c r="P943" s="1678"/>
      <c r="Q943" s="1678"/>
      <c r="R943" s="1678"/>
      <c r="S943" s="1678"/>
      <c r="T943" s="1679"/>
      <c r="U943" s="1638" t="s">
        <v>600</v>
      </c>
      <c r="V943" s="1400"/>
      <c r="W943" s="1400"/>
      <c r="X943" s="1400"/>
      <c r="Y943" s="1400"/>
      <c r="Z943" s="1401"/>
      <c r="AA943" s="1639"/>
      <c r="AB943" s="1531"/>
      <c r="AC943" s="1531"/>
      <c r="AD943" s="1531"/>
      <c r="AE943" s="1531"/>
      <c r="AF943" s="16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8" t="s">
        <v>678</v>
      </c>
      <c r="Q944" s="1400"/>
      <c r="R944" s="1400"/>
      <c r="S944" s="1400"/>
      <c r="T944" s="1401"/>
      <c r="U944" s="1638" t="s">
        <v>600</v>
      </c>
      <c r="V944" s="1400"/>
      <c r="W944" s="1400"/>
      <c r="X944" s="1400"/>
      <c r="Y944" s="1400"/>
      <c r="Z944" s="1401"/>
      <c r="AA944" s="1639"/>
      <c r="AB944" s="1531"/>
      <c r="AC944" s="1531"/>
      <c r="AD944" s="1531"/>
      <c r="AE944" s="1531"/>
      <c r="AF944" s="16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6" t="s">
        <v>2557</v>
      </c>
      <c r="G945" s="1657"/>
      <c r="H945" s="1658"/>
      <c r="I945" s="1619" t="s">
        <v>335</v>
      </c>
      <c r="J945" s="1620"/>
      <c r="K945" s="1620"/>
      <c r="L945" s="1620"/>
      <c r="M945" s="1620"/>
      <c r="N945" s="1620"/>
      <c r="O945" s="1620"/>
      <c r="P945" s="1620"/>
      <c r="Q945" s="1620"/>
      <c r="R945" s="1620"/>
      <c r="S945" s="1620"/>
      <c r="T945" s="1621"/>
      <c r="U945" s="1638" t="s">
        <v>600</v>
      </c>
      <c r="V945" s="1400"/>
      <c r="W945" s="1400"/>
      <c r="X945" s="1400"/>
      <c r="Y945" s="1400"/>
      <c r="Z945" s="1401"/>
      <c r="AA945" s="1639"/>
      <c r="AB945" s="1531"/>
      <c r="AC945" s="1531"/>
      <c r="AD945" s="1531"/>
      <c r="AE945" s="1531"/>
      <c r="AF945" s="16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9" t="s">
        <v>2769</v>
      </c>
      <c r="J946" s="1620"/>
      <c r="K946" s="1620"/>
      <c r="L946" s="1620"/>
      <c r="M946" s="1620"/>
      <c r="N946" s="1620"/>
      <c r="O946" s="1620"/>
      <c r="P946" s="1620"/>
      <c r="Q946" s="1620"/>
      <c r="R946" s="1620"/>
      <c r="S946" s="1620"/>
      <c r="T946" s="1621"/>
      <c r="U946" s="1638" t="s">
        <v>554</v>
      </c>
      <c r="V946" s="1400"/>
      <c r="W946" s="1400"/>
      <c r="X946" s="1400"/>
      <c r="Y946" s="1400"/>
      <c r="Z946" s="1401"/>
      <c r="AA946" s="1639">
        <f>+AO628+AO627</f>
        <v>16016846</v>
      </c>
      <c r="AB946" s="1531"/>
      <c r="AC946" s="1531"/>
      <c r="AD946" s="1531"/>
      <c r="AE946" s="1531"/>
      <c r="AF946" s="16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0" t="s">
        <v>335</v>
      </c>
      <c r="J947" s="1661"/>
      <c r="K947" s="1661"/>
      <c r="L947" s="1661"/>
      <c r="M947" s="1661"/>
      <c r="N947" s="1661"/>
      <c r="O947" s="1661"/>
      <c r="P947" s="1661"/>
      <c r="Q947" s="1661"/>
      <c r="R947" s="1661"/>
      <c r="S947" s="1661"/>
      <c r="T947" s="1662"/>
      <c r="U947" s="1638" t="s">
        <v>600</v>
      </c>
      <c r="V947" s="1400"/>
      <c r="W947" s="1400"/>
      <c r="X947" s="1400"/>
      <c r="Y947" s="1400"/>
      <c r="Z947" s="1401"/>
      <c r="AA947" s="1639"/>
      <c r="AB947" s="1531"/>
      <c r="AC947" s="1531"/>
      <c r="AD947" s="1531"/>
      <c r="AE947" s="1531"/>
      <c r="AF947" s="16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0" t="s">
        <v>335</v>
      </c>
      <c r="J948" s="1661"/>
      <c r="K948" s="1661"/>
      <c r="L948" s="1661"/>
      <c r="M948" s="1661"/>
      <c r="N948" s="1661"/>
      <c r="O948" s="1661"/>
      <c r="P948" s="1661"/>
      <c r="Q948" s="1661"/>
      <c r="R948" s="1661"/>
      <c r="S948" s="1661"/>
      <c r="T948" s="1662"/>
      <c r="U948" s="1638" t="s">
        <v>600</v>
      </c>
      <c r="V948" s="1400"/>
      <c r="W948" s="1400"/>
      <c r="X948" s="1400"/>
      <c r="Y948" s="1400"/>
      <c r="Z948" s="1401"/>
      <c r="AA948" s="1639"/>
      <c r="AB948" s="1531"/>
      <c r="AC948" s="1531"/>
      <c r="AD948" s="1531"/>
      <c r="AE948" s="1531"/>
      <c r="AF948" s="16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0" t="s">
        <v>335</v>
      </c>
      <c r="J949" s="1661"/>
      <c r="K949" s="1661"/>
      <c r="L949" s="1661"/>
      <c r="M949" s="1661"/>
      <c r="N949" s="1661"/>
      <c r="O949" s="1661"/>
      <c r="P949" s="1661"/>
      <c r="Q949" s="1661"/>
      <c r="R949" s="1661"/>
      <c r="S949" s="1661"/>
      <c r="T949" s="1662"/>
      <c r="U949" s="1638" t="s">
        <v>600</v>
      </c>
      <c r="V949" s="1400"/>
      <c r="W949" s="1400"/>
      <c r="X949" s="1400"/>
      <c r="Y949" s="1400"/>
      <c r="Z949" s="1401"/>
      <c r="AA949" s="1639"/>
      <c r="AB949" s="1531"/>
      <c r="AC949" s="1531"/>
      <c r="AD949" s="1531"/>
      <c r="AE949" s="1531"/>
      <c r="AF949" s="16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3"/>
      <c r="N954" s="1624"/>
      <c r="O954" s="1624"/>
      <c r="P954" s="1624"/>
      <c r="Q954" s="1624"/>
      <c r="R954" s="1624"/>
      <c r="S954" s="1625"/>
      <c r="U954" s="66" t="s">
        <v>11</v>
      </c>
      <c r="V954" s="5"/>
      <c r="W954" s="5"/>
      <c r="X954" s="5"/>
      <c r="Y954" s="5"/>
      <c r="Z954" s="5"/>
      <c r="AA954" s="5"/>
      <c r="AB954" s="5"/>
      <c r="AC954" s="5"/>
      <c r="AD954" s="46"/>
      <c r="AE954" s="1663"/>
      <c r="AF954" s="1624"/>
      <c r="AG954" s="1624"/>
      <c r="AH954" s="1624"/>
      <c r="AI954" s="1624"/>
      <c r="AJ954" s="1624"/>
      <c r="AK954" s="16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4"/>
      <c r="N955" s="1481"/>
      <c r="O955" s="1481"/>
      <c r="P955" s="1481"/>
      <c r="Q955" s="1481"/>
      <c r="R955" s="1481"/>
      <c r="S955" s="1705"/>
      <c r="U955" s="66" t="s">
        <v>12</v>
      </c>
      <c r="V955" s="5"/>
      <c r="W955" s="5"/>
      <c r="X955" s="5"/>
      <c r="Y955" s="5"/>
      <c r="Z955" s="5"/>
      <c r="AA955" s="5"/>
      <c r="AB955" s="5"/>
      <c r="AC955" s="5"/>
      <c r="AD955" s="46"/>
      <c r="AE955" s="1704"/>
      <c r="AF955" s="1481"/>
      <c r="AG955" s="1481"/>
      <c r="AH955" s="1481"/>
      <c r="AI955" s="1481"/>
      <c r="AJ955" s="1481"/>
      <c r="AK955" s="170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6" t="s">
        <v>308</v>
      </c>
      <c r="K956" s="1707"/>
      <c r="L956" s="1707"/>
      <c r="M956" s="1707"/>
      <c r="N956" s="1707"/>
      <c r="O956" s="1707"/>
      <c r="P956" s="1707"/>
      <c r="Q956" s="1707"/>
      <c r="R956" s="1707"/>
      <c r="S956" s="1708"/>
      <c r="U956" s="66" t="s">
        <v>893</v>
      </c>
      <c r="V956" s="5"/>
      <c r="W956" s="5"/>
      <c r="AB956" s="1706" t="s">
        <v>308</v>
      </c>
      <c r="AC956" s="1707"/>
      <c r="AD956" s="1707"/>
      <c r="AE956" s="1707"/>
      <c r="AF956" s="1707"/>
      <c r="AG956" s="1707"/>
      <c r="AH956" s="1707"/>
      <c r="AI956" s="1707"/>
      <c r="AJ956" s="1707"/>
      <c r="AK956" s="170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0"/>
      <c r="N957" s="1701"/>
      <c r="O957" s="1701"/>
      <c r="P957" s="1701"/>
      <c r="Q957" s="1701"/>
      <c r="R957" s="1701"/>
      <c r="S957" s="1702"/>
      <c r="U957" s="66" t="s">
        <v>13</v>
      </c>
      <c r="V957" s="5"/>
      <c r="W957" s="5"/>
      <c r="X957" s="5"/>
      <c r="Y957" s="5"/>
      <c r="Z957" s="5"/>
      <c r="AA957" s="5"/>
      <c r="AB957" s="5"/>
      <c r="AC957" s="5"/>
      <c r="AD957" s="46"/>
      <c r="AE957" s="1703"/>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8"/>
      <c r="N958" s="1600"/>
      <c r="O958" s="1600"/>
      <c r="P958" s="1600"/>
      <c r="Q958" s="1600"/>
      <c r="R958" s="1600"/>
      <c r="S958" s="1601"/>
      <c r="U958" s="66" t="s">
        <v>14</v>
      </c>
      <c r="V958" s="5"/>
      <c r="W958" s="5"/>
      <c r="X958" s="5"/>
      <c r="Y958" s="5"/>
      <c r="Z958" s="5"/>
      <c r="AA958" s="5"/>
      <c r="AB958" s="5"/>
      <c r="AC958" s="5"/>
      <c r="AD958" s="46"/>
      <c r="AE958" s="1748"/>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9"/>
      <c r="N959" s="1531"/>
      <c r="O959" s="1531"/>
      <c r="P959" s="1531"/>
      <c r="Q959" s="1531"/>
      <c r="R959" s="1531"/>
      <c r="S959" s="1640"/>
      <c r="U959" s="66" t="s">
        <v>15</v>
      </c>
      <c r="V959" s="5"/>
      <c r="W959" s="5"/>
      <c r="X959" s="5"/>
      <c r="Y959" s="5"/>
      <c r="Z959" s="5"/>
      <c r="AA959" s="5"/>
      <c r="AB959" s="5"/>
      <c r="AC959" s="5"/>
      <c r="AD959" s="46"/>
      <c r="AE959" s="1639"/>
      <c r="AF959" s="1531"/>
      <c r="AG959" s="1531"/>
      <c r="AH959" s="1531"/>
      <c r="AI959" s="1531"/>
      <c r="AJ959" s="1531"/>
      <c r="AK959" s="16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9"/>
      <c r="N960" s="1531"/>
      <c r="O960" s="1531"/>
      <c r="P960" s="1531"/>
      <c r="Q960" s="1531"/>
      <c r="R960" s="1531"/>
      <c r="S960" s="1640"/>
      <c r="U960" s="66" t="s">
        <v>16</v>
      </c>
      <c r="V960" s="5"/>
      <c r="W960" s="5"/>
      <c r="X960" s="5"/>
      <c r="Y960" s="5"/>
      <c r="Z960" s="5"/>
      <c r="AA960" s="5"/>
      <c r="AB960" s="5"/>
      <c r="AC960" s="5"/>
      <c r="AD960" s="46"/>
      <c r="AE960" s="1639"/>
      <c r="AF960" s="1531"/>
      <c r="AG960" s="1531"/>
      <c r="AH960" s="1531"/>
      <c r="AI960" s="1531"/>
      <c r="AJ960" s="1531"/>
      <c r="AK960" s="16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80"/>
      <c r="N961" s="1681"/>
      <c r="O961" s="1681"/>
      <c r="P961" s="1681"/>
      <c r="Q961" s="1681"/>
      <c r="R961" s="1681"/>
      <c r="S961" s="1682"/>
      <c r="U961" s="121" t="s">
        <v>1776</v>
      </c>
      <c r="V961" s="5"/>
      <c r="W961" s="5"/>
      <c r="X961" s="5"/>
      <c r="Y961" s="5"/>
      <c r="Z961" s="5"/>
      <c r="AA961" s="5"/>
      <c r="AB961" s="5"/>
      <c r="AC961" s="5"/>
      <c r="AD961" s="46"/>
      <c r="AE961" s="1680"/>
      <c r="AF961" s="1681"/>
      <c r="AG961" s="1681"/>
      <c r="AH961" s="1681"/>
      <c r="AI961" s="1681"/>
      <c r="AJ961" s="1681"/>
      <c r="AK961" s="168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4"/>
      <c r="N966" s="1665"/>
      <c r="O966" s="1665"/>
      <c r="P966" s="1665"/>
      <c r="Q966" s="1665"/>
      <c r="R966" s="1665"/>
      <c r="S966" s="1666"/>
      <c r="T966" s="66" t="s">
        <v>800</v>
      </c>
      <c r="U966" s="5"/>
      <c r="V966" s="5"/>
      <c r="W966" s="5"/>
      <c r="X966" s="5"/>
      <c r="Y966" s="5"/>
      <c r="Z966" s="46"/>
      <c r="AA966" s="1664"/>
      <c r="AB966" s="1665"/>
      <c r="AC966" s="1665"/>
      <c r="AD966" s="1665"/>
      <c r="AE966" s="1665"/>
      <c r="AF966" s="1665"/>
      <c r="AG966" s="16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4"/>
      <c r="N967" s="1665"/>
      <c r="O967" s="1665"/>
      <c r="P967" s="1665"/>
      <c r="Q967" s="1665"/>
      <c r="R967" s="1665"/>
      <c r="S967" s="1666"/>
      <c r="T967" s="66" t="s">
        <v>799</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7" t="s">
        <v>600</v>
      </c>
      <c r="N968" s="1758"/>
      <c r="O968" s="1758"/>
      <c r="P968" s="1758"/>
      <c r="Q968" s="1758"/>
      <c r="R968" s="1758"/>
      <c r="S968" s="1759"/>
      <c r="T968" s="45" t="s">
        <v>338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4"/>
      <c r="N969" s="1665"/>
      <c r="O969" s="1665"/>
      <c r="P969" s="1665"/>
      <c r="Q969" s="1665"/>
      <c r="R969" s="1665"/>
      <c r="S969" s="1666"/>
      <c r="T969" s="45" t="s">
        <v>339</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4"/>
      <c r="N970" s="1665"/>
      <c r="O970" s="1665"/>
      <c r="P970" s="1665"/>
      <c r="Q970" s="1665"/>
      <c r="R970" s="1665"/>
      <c r="S970" s="1666"/>
      <c r="T970" s="45" t="s">
        <v>377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52" t="s">
        <v>308</v>
      </c>
      <c r="N971" s="1753"/>
      <c r="O971" s="1753"/>
      <c r="P971" s="1753"/>
      <c r="Q971" s="1753"/>
      <c r="R971" s="1753"/>
      <c r="S971" s="1754"/>
      <c r="T971" s="1697"/>
      <c r="U971" s="1698"/>
      <c r="V971" s="1698"/>
      <c r="W971" s="1698"/>
      <c r="X971" s="1698"/>
      <c r="Y971" s="1698"/>
      <c r="Z971" s="1699"/>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4"/>
      <c r="N972" s="1665"/>
      <c r="O972" s="1665"/>
      <c r="P972" s="1665"/>
      <c r="Q972" s="1665"/>
      <c r="R972" s="1665"/>
      <c r="S972" s="1666"/>
      <c r="T972" s="1697"/>
      <c r="U972" s="1698"/>
      <c r="V972" s="1698"/>
      <c r="W972" s="1698"/>
      <c r="X972" s="1698"/>
      <c r="Y972" s="1698"/>
      <c r="Z972" s="169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3" t="s">
        <v>678</v>
      </c>
      <c r="P973" s="1455"/>
      <c r="Q973" s="92"/>
      <c r="R973" s="92"/>
      <c r="S973" s="93"/>
      <c r="T973" s="41" t="s">
        <v>170</v>
      </c>
      <c r="U973" s="42"/>
      <c r="V973" s="42"/>
      <c r="W973" s="1749" t="s">
        <v>335</v>
      </c>
      <c r="X973" s="1750"/>
      <c r="Y973" s="1750"/>
      <c r="Z973" s="1750"/>
      <c r="AA973" s="1750"/>
      <c r="AB973" s="1750"/>
      <c r="AC973" s="1750"/>
      <c r="AD973" s="1750"/>
      <c r="AE973" s="1750"/>
      <c r="AF973" s="1750"/>
      <c r="AG973" s="17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07"/>
      <c r="H974" s="1507"/>
      <c r="I974" s="1507"/>
      <c r="J974" s="1507"/>
      <c r="K974" s="1507"/>
      <c r="L974" s="1507"/>
      <c r="M974" s="1664"/>
      <c r="N974" s="1665"/>
      <c r="O974" s="1665"/>
      <c r="P974" s="1665"/>
      <c r="Q974" s="1665"/>
      <c r="R974" s="1665"/>
      <c r="S974" s="1666"/>
      <c r="T974" s="47"/>
      <c r="U974" s="48"/>
      <c r="V974" s="48"/>
      <c r="W974" s="48"/>
      <c r="X974" s="48"/>
      <c r="Y974" s="48"/>
      <c r="Z974" s="124" t="s">
        <v>134</v>
      </c>
      <c r="AA974" s="1691"/>
      <c r="AB974" s="1692"/>
      <c r="AC974" s="1692"/>
      <c r="AD974" s="1692"/>
      <c r="AE974" s="1692"/>
      <c r="AF974" s="1692"/>
      <c r="AG974" s="169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2"/>
      <c r="BH975" s="1642"/>
      <c r="BI975" s="1642"/>
      <c r="BJ975" s="1642"/>
      <c r="BK975" s="1642"/>
      <c r="BL975" s="164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557</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3" t="s">
        <v>647</v>
      </c>
      <c r="E984" s="1834"/>
      <c r="F984" s="1834"/>
      <c r="G984" s="1834"/>
      <c r="H984" s="1834"/>
      <c r="I984" s="1834"/>
      <c r="J984" s="1834"/>
      <c r="K984" s="1834"/>
      <c r="L984" s="1834"/>
      <c r="M984" s="1834"/>
      <c r="N984" s="1834"/>
      <c r="O984" s="1834"/>
      <c r="P984" s="1834"/>
      <c r="Q984" s="1835"/>
      <c r="R984" s="1833" t="s">
        <v>648</v>
      </c>
      <c r="S984" s="1834"/>
      <c r="T984" s="1834"/>
      <c r="U984" s="1834"/>
      <c r="V984" s="1834"/>
      <c r="W984" s="1834"/>
      <c r="X984" s="1834"/>
      <c r="Y984" s="1834"/>
      <c r="Z984" s="1834"/>
      <c r="AA984" s="1835"/>
      <c r="AB984" s="1833" t="s">
        <v>649</v>
      </c>
      <c r="AC984" s="1834"/>
      <c r="AD984" s="1834"/>
      <c r="AE984" s="1834"/>
      <c r="AF984" s="1834"/>
      <c r="AG984" s="1834"/>
      <c r="AH984" s="1834"/>
      <c r="AI984" s="1835"/>
      <c r="AJ984" s="1833" t="s">
        <v>650</v>
      </c>
      <c r="AK984" s="1834"/>
      <c r="AL984" s="1834"/>
      <c r="AM984" s="1834"/>
      <c r="AN984" s="1834"/>
      <c r="AO984" s="1834"/>
      <c r="AP984" s="1834"/>
      <c r="AQ984" s="18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642</v>
      </c>
      <c r="E985" s="1521"/>
      <c r="F985" s="1521"/>
      <c r="G985" s="1521"/>
      <c r="H985" s="1521"/>
      <c r="I985" s="1521"/>
      <c r="J985" s="1521"/>
      <c r="K985" s="1521"/>
      <c r="L985" s="1521"/>
      <c r="M985" s="1521"/>
      <c r="N985" s="1521"/>
      <c r="O985" s="1521"/>
      <c r="P985" s="1521"/>
      <c r="Q985" s="1522"/>
      <c r="R985" s="1747">
        <f>IF(ISNA(IF($BN$796="4%",(INDEX($BP$806:$BT$863,MATCH($CB$796,$BO$806:$BO$863,0),MATCH(D985,$BP$805:$BT$805,0))),(INDEX($BW$806:$CA$863,MATCH($CB$796,$BV$806:$BV$863,0),MATCH(D985,$BW$805:$CA$805,0))))),0,IF($BN$796="4%",(INDEX($BP$806:$BT$863,MATCH($CB$796,$BO$806:$BO$863,0),MATCH(D985,$BP$805:$BT$805,0))),(INDEX($BW$806:$CA$863,MATCH($CB$796,$BV$806:$BV$863,0),MATCH(D985,$BW$805:$CA$805,0)))))</f>
        <v>307732</v>
      </c>
      <c r="S985" s="1747"/>
      <c r="T985" s="1747"/>
      <c r="U985" s="1747"/>
      <c r="V985" s="1747"/>
      <c r="W985" s="1747"/>
      <c r="X985" s="1747"/>
      <c r="Y985" s="1747"/>
      <c r="Z985" s="1747"/>
      <c r="AA985" s="1747"/>
      <c r="AB985" s="1814">
        <f>BN660</f>
        <v>0</v>
      </c>
      <c r="AC985" s="1815"/>
      <c r="AD985" s="1815"/>
      <c r="AE985" s="1815"/>
      <c r="AF985" s="1815"/>
      <c r="AG985" s="1815"/>
      <c r="AH985" s="1815"/>
      <c r="AI985" s="1816"/>
      <c r="AJ985" s="1669">
        <f>IF(ISERROR((R985*AB985)),0,(R985*AB985))</f>
        <v>0</v>
      </c>
      <c r="AK985" s="1670"/>
      <c r="AL985" s="1670"/>
      <c r="AM985" s="1670"/>
      <c r="AN985" s="1670"/>
      <c r="AO985" s="1670"/>
      <c r="AP985" s="1670"/>
      <c r="AQ985" s="167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47">
        <f>IF(ISNA(IF($BN$796="4%",(INDEX($BP$806:$BT$863,MATCH($CB$796,$BO$806:$BO$863,0),MATCH(D986,$BP$805:$BT$805,0))),(INDEX($BW$806:$CA$863,MATCH($CB$796,$BV$806:$BV$863,0),MATCH(D986,$BW$805:$CA$805,0))))),0,IF($BN$796="4%",(INDEX($BP$806:$BT$863,MATCH($CB$796,$BO$806:$BO$863,0),MATCH(D986,$BP$805:$BT$805,0))),(INDEX($BW$806:$CA$863,MATCH($CB$796,$BV$806:$BV$863,0),MATCH(D986,$BW$805:$CA$805,0)))))</f>
        <v>354812</v>
      </c>
      <c r="S986" s="1747"/>
      <c r="T986" s="1747"/>
      <c r="U986" s="1747"/>
      <c r="V986" s="1747"/>
      <c r="W986" s="1747"/>
      <c r="X986" s="1747"/>
      <c r="Y986" s="1747"/>
      <c r="Z986" s="1747"/>
      <c r="AA986" s="1747"/>
      <c r="AB986" s="1814">
        <f>BS660</f>
        <v>24</v>
      </c>
      <c r="AC986" s="1815"/>
      <c r="AD986" s="1815"/>
      <c r="AE986" s="1815"/>
      <c r="AF986" s="1815"/>
      <c r="AG986" s="1815"/>
      <c r="AH986" s="1815"/>
      <c r="AI986" s="1816"/>
      <c r="AJ986" s="1669">
        <f>IF(ISERROR((R986*AB986)),0,(R986*AB986))</f>
        <v>8515488</v>
      </c>
      <c r="AK986" s="1670"/>
      <c r="AL986" s="1670"/>
      <c r="AM986" s="1670"/>
      <c r="AN986" s="1670"/>
      <c r="AO986" s="1670"/>
      <c r="AP986" s="1670"/>
      <c r="AQ986" s="167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47">
        <f>IF(ISNA(IF($BN$796="4%",(INDEX($BP$806:$BT$863,MATCH($CB$796,$BO$806:$BO$863,0),MATCH(D987,$BP$805:$BT$805,0))),(INDEX($BW$806:$CA$863,MATCH($CB$796,$BV$806:$BV$863,0),MATCH(D987,$BW$805:$CA$805,0))))),0,IF($BN$796="4%",(INDEX($BP$806:$BT$863,MATCH($CB$796,$BO$806:$BO$863,0),MATCH(D987,$BP$805:$BT$805,0))),(INDEX($BW$806:$CA$863,MATCH($CB$796,$BV$806:$BV$863,0),MATCH(D987,$BW$805:$CA$805,0)))))</f>
        <v>428000</v>
      </c>
      <c r="S987" s="1747"/>
      <c r="T987" s="1747"/>
      <c r="U987" s="1747"/>
      <c r="V987" s="1747"/>
      <c r="W987" s="1747"/>
      <c r="X987" s="1747"/>
      <c r="Y987" s="1747"/>
      <c r="Z987" s="1747"/>
      <c r="AA987" s="1747"/>
      <c r="AB987" s="1814">
        <f>BX660</f>
        <v>50</v>
      </c>
      <c r="AC987" s="1815"/>
      <c r="AD987" s="1815"/>
      <c r="AE987" s="1815"/>
      <c r="AF987" s="1815"/>
      <c r="AG987" s="1815"/>
      <c r="AH987" s="1815"/>
      <c r="AI987" s="1816"/>
      <c r="AJ987" s="1669">
        <f>IF(ISERROR((R987*AB987)),0,(R987*AB987))</f>
        <v>21400000</v>
      </c>
      <c r="AK987" s="1670"/>
      <c r="AL987" s="1670"/>
      <c r="AM987" s="1670"/>
      <c r="AN987" s="1670"/>
      <c r="AO987" s="1670"/>
      <c r="AP987" s="1670"/>
      <c r="AQ987" s="167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47">
        <f>IF(ISNA(IF($BN$796="4%",(INDEX($BP$806:$BT$863,MATCH($CB$796,$BO$806:$BO$863,0),MATCH(D988,$BP$805:$BT$805,0))),(INDEX($BW$806:$CA$863,MATCH($CB$796,$BV$806:$BV$863,0),MATCH(D988,$BW$805:$CA$805,0))))),0,IF($BN$796="4%",(INDEX($BP$806:$BT$863,MATCH($CB$796,$BO$806:$BO$863,0),MATCH(D988,$BP$805:$BT$805,0))),(INDEX($BW$806:$CA$863,MATCH($CB$796,$BV$806:$BV$863,0),MATCH(D988,$BW$805:$CA$805,0)))))</f>
        <v>547840</v>
      </c>
      <c r="S988" s="1747"/>
      <c r="T988" s="1747"/>
      <c r="U988" s="1747"/>
      <c r="V988" s="1747"/>
      <c r="W988" s="1747"/>
      <c r="X988" s="1747"/>
      <c r="Y988" s="1747"/>
      <c r="Z988" s="1747"/>
      <c r="AA988" s="1747"/>
      <c r="AB988" s="1814">
        <f>CC660</f>
        <v>26</v>
      </c>
      <c r="AC988" s="1815"/>
      <c r="AD988" s="1815"/>
      <c r="AE988" s="1815"/>
      <c r="AF988" s="1815"/>
      <c r="AG988" s="1815"/>
      <c r="AH988" s="1815"/>
      <c r="AI988" s="1816"/>
      <c r="AJ988" s="1669">
        <f>IF(ISERROR((R988*AB988)),0,(R988*AB988))</f>
        <v>14243840</v>
      </c>
      <c r="AK988" s="1670"/>
      <c r="AL988" s="1670"/>
      <c r="AM988" s="1670"/>
      <c r="AN988" s="1670"/>
      <c r="AO988" s="1670"/>
      <c r="AP988" s="1670"/>
      <c r="AQ988" s="167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469</v>
      </c>
      <c r="E989" s="1521"/>
      <c r="F989" s="1521"/>
      <c r="G989" s="1521"/>
      <c r="H989" s="1521"/>
      <c r="I989" s="1521"/>
      <c r="J989" s="1521"/>
      <c r="K989" s="1521"/>
      <c r="L989" s="1521"/>
      <c r="M989" s="1521"/>
      <c r="N989" s="1521"/>
      <c r="O989" s="1521"/>
      <c r="P989" s="1521"/>
      <c r="Q989" s="1522"/>
      <c r="R989" s="1747">
        <f>IF(ISNA(IF($BN$796="4%",(INDEX($BP$806:$BT$863,MATCH($CB$796,$BO$806:$BO$863,0),MATCH(D989,$BP$805:$BT$805,0))),(INDEX($BW$806:$CA$863,MATCH($CB$796,$BV$806:$BV$863,0),MATCH(D989,$BW$805:$CA$805,0))))),0,IF($BN$796="4%",(INDEX($BP$806:$BT$863,MATCH($CB$796,$BO$806:$BO$863,0),MATCH(D989,$BP$805:$BT$805,0))),(INDEX($BW$806:$CA$863,MATCH($CB$796,$BV$806:$BV$863,0),MATCH(D989,$BW$805:$CA$805,0)))))</f>
        <v>610328</v>
      </c>
      <c r="S989" s="1747"/>
      <c r="T989" s="1747"/>
      <c r="U989" s="1747"/>
      <c r="V989" s="1747"/>
      <c r="W989" s="1747"/>
      <c r="X989" s="1747"/>
      <c r="Y989" s="1747"/>
      <c r="Z989" s="1747"/>
      <c r="AA989" s="1747"/>
      <c r="AB989" s="1814">
        <f>CM660+CH660</f>
        <v>0</v>
      </c>
      <c r="AC989" s="1815"/>
      <c r="AD989" s="1815"/>
      <c r="AE989" s="1815"/>
      <c r="AF989" s="1815"/>
      <c r="AG989" s="1815"/>
      <c r="AH989" s="1815"/>
      <c r="AI989" s="1816"/>
      <c r="AJ989" s="1669">
        <f>IF(ISERROR((R989*AB989)),0,(R989*AB989))</f>
        <v>0</v>
      </c>
      <c r="AK989" s="1670"/>
      <c r="AL989" s="1670"/>
      <c r="AM989" s="1670"/>
      <c r="AN989" s="1670"/>
      <c r="AO989" s="1670"/>
      <c r="AP989" s="1670"/>
      <c r="AQ989" s="167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4" t="s">
        <v>801</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814">
        <f>SUM(AB985:AI989)</f>
        <v>100</v>
      </c>
      <c r="AC990" s="1815"/>
      <c r="AD990" s="1815"/>
      <c r="AE990" s="1815"/>
      <c r="AF990" s="1815"/>
      <c r="AG990" s="1815"/>
      <c r="AH990" s="1815"/>
      <c r="AI990" s="1816"/>
      <c r="AJ990" s="1669"/>
      <c r="AK990" s="1670"/>
      <c r="AL990" s="1670"/>
      <c r="AM990" s="1670"/>
      <c r="AN990" s="1670"/>
      <c r="AO990" s="1670"/>
      <c r="AP990" s="1670"/>
      <c r="AQ990" s="167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0" t="s">
        <v>521</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69">
        <f>SUM(AJ985:AQ989)</f>
        <v>44159328</v>
      </c>
      <c r="AK991" s="1670"/>
      <c r="AL991" s="1670"/>
      <c r="AM991" s="1670"/>
      <c r="AN991" s="1670"/>
      <c r="AO991" s="1670"/>
      <c r="AP991" s="1670"/>
      <c r="AQ991" s="167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40" t="s">
        <v>675</v>
      </c>
      <c r="AG992" s="1841"/>
      <c r="AH992" s="1841"/>
      <c r="AI992" s="1842"/>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78" t="s">
        <v>1327</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43" t="s">
        <v>554</v>
      </c>
      <c r="AH993" s="1844"/>
      <c r="AI993" s="87"/>
      <c r="AJ993" s="1799">
        <f>ROUND(IF(AND(AG993="yes",D999&gt;0),AJ991*0.2,0),0)</f>
        <v>8831866</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0" t="s">
        <v>2571</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3" t="s">
        <v>2572</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7" t="s">
        <v>2770</v>
      </c>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1" t="s">
        <v>1397</v>
      </c>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79"/>
      <c r="AG1000" s="1667" t="s">
        <v>678</v>
      </c>
      <c r="AH1000" s="1668"/>
      <c r="AI1000" s="87"/>
      <c r="AJ1000" s="1799">
        <f>ROUND(IF(AG1000="yes",AJ991*0.05,0),0)</f>
        <v>0</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0" t="s">
        <v>1395</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0.65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81" t="s">
        <v>1874</v>
      </c>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86"/>
      <c r="AG1006" s="1667" t="s">
        <v>678</v>
      </c>
      <c r="AH1006" s="1668"/>
      <c r="AI1006" s="87"/>
      <c r="AJ1006" s="1799">
        <f>ROUND(IF(AG1006="yes",AJ991*0.1,0),0)</f>
        <v>0</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2.95" customHeight="1">
      <c r="A1007" s="14"/>
      <c r="B1007" s="73"/>
      <c r="C1007" s="74"/>
      <c r="D1007" s="1685" t="s">
        <v>1396</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2.95" customHeight="1">
      <c r="A1008" s="14"/>
      <c r="B1008" s="73"/>
      <c r="C1008" s="7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2.95" customHeight="1">
      <c r="A1009" s="14"/>
      <c r="B1009" s="85"/>
      <c r="C1009" s="76"/>
      <c r="D1009" s="1688"/>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90"/>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2.95" customHeight="1">
      <c r="A1010" s="14"/>
      <c r="B1010" s="79"/>
      <c r="C1010" s="80" t="s">
        <v>213</v>
      </c>
      <c r="D1010" s="1781" t="s">
        <v>1398</v>
      </c>
      <c r="E1010" s="1782"/>
      <c r="F1010" s="1782"/>
      <c r="G1010" s="1782"/>
      <c r="H1010" s="1782"/>
      <c r="I1010" s="1782"/>
      <c r="J1010" s="1782"/>
      <c r="K1010" s="1782"/>
      <c r="L1010" s="1782"/>
      <c r="M1010" s="1782"/>
      <c r="N1010" s="1782"/>
      <c r="O1010" s="1782"/>
      <c r="P1010" s="1782"/>
      <c r="Q1010" s="1782"/>
      <c r="R1010" s="1782"/>
      <c r="S1010" s="1782"/>
      <c r="T1010" s="1782"/>
      <c r="U1010" s="1782"/>
      <c r="V1010" s="1782"/>
      <c r="W1010" s="1782"/>
      <c r="X1010" s="1782"/>
      <c r="Y1010" s="1782"/>
      <c r="Z1010" s="1782"/>
      <c r="AA1010" s="1782"/>
      <c r="AB1010" s="1782"/>
      <c r="AC1010" s="1782"/>
      <c r="AD1010" s="1782"/>
      <c r="AE1010" s="1783"/>
      <c r="AF1010" s="79"/>
      <c r="AG1010" s="1667" t="s">
        <v>678</v>
      </c>
      <c r="AH1010" s="1668"/>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688" t="s">
        <v>1399</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2.95" customHeight="1">
      <c r="A1012" s="14"/>
      <c r="B1012" s="79"/>
      <c r="C1012" s="80" t="s">
        <v>216</v>
      </c>
      <c r="D1012" s="1781" t="s">
        <v>1400</v>
      </c>
      <c r="E1012" s="1782"/>
      <c r="F1012" s="1782"/>
      <c r="G1012" s="1782"/>
      <c r="H1012" s="1782"/>
      <c r="I1012" s="1782"/>
      <c r="J1012" s="1782"/>
      <c r="K1012" s="1782"/>
      <c r="L1012" s="1782"/>
      <c r="M1012" s="1782"/>
      <c r="N1012" s="1782"/>
      <c r="O1012" s="1782"/>
      <c r="P1012" s="1782"/>
      <c r="Q1012" s="1782"/>
      <c r="R1012" s="1782"/>
      <c r="S1012" s="1782"/>
      <c r="T1012" s="1782"/>
      <c r="U1012" s="1782"/>
      <c r="V1012" s="1782"/>
      <c r="W1012" s="1782"/>
      <c r="X1012" s="1782"/>
      <c r="Y1012" s="1782"/>
      <c r="Z1012" s="1782"/>
      <c r="AA1012" s="1782"/>
      <c r="AB1012" s="1782"/>
      <c r="AC1012" s="1782"/>
      <c r="AD1012" s="1782"/>
      <c r="AE1012" s="1783"/>
      <c r="AF1012" s="79"/>
      <c r="AG1012" s="1667" t="s">
        <v>678</v>
      </c>
      <c r="AH1012" s="1668"/>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2.95" customHeight="1">
      <c r="A1013" s="14"/>
      <c r="B1013" s="73"/>
      <c r="C1013" s="74"/>
      <c r="D1013" s="1685" t="s">
        <v>1401</v>
      </c>
      <c r="E1013" s="1686"/>
      <c r="F1013" s="1686"/>
      <c r="G1013" s="1686"/>
      <c r="H1013" s="1686"/>
      <c r="I1013" s="1686"/>
      <c r="J1013" s="1686"/>
      <c r="K1013" s="1686"/>
      <c r="L1013" s="1686"/>
      <c r="M1013" s="1686"/>
      <c r="N1013" s="1686"/>
      <c r="O1013" s="1686"/>
      <c r="P1013" s="1686"/>
      <c r="Q1013" s="1686"/>
      <c r="R1013" s="1686"/>
      <c r="S1013" s="1686"/>
      <c r="T1013" s="1686"/>
      <c r="U1013" s="1686"/>
      <c r="V1013" s="1686"/>
      <c r="W1013" s="1686"/>
      <c r="X1013" s="1686"/>
      <c r="Y1013" s="1686"/>
      <c r="Z1013" s="1686"/>
      <c r="AA1013" s="1686"/>
      <c r="AB1013" s="1686"/>
      <c r="AC1013" s="1686"/>
      <c r="AD1013" s="1686"/>
      <c r="AE1013" s="1687"/>
      <c r="AF1013" s="1864" t="str">
        <f>IF(AND(AG1012="yes",AB212&lt;&gt;1),"The project may not be eligible for this boost","")</f>
        <v/>
      </c>
      <c r="AG1013" s="1865"/>
      <c r="AH1013" s="1865"/>
      <c r="AI1013" s="1866"/>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2.95" customHeight="1">
      <c r="A1014" s="14"/>
      <c r="B1014" s="75"/>
      <c r="C1014" s="76"/>
      <c r="D1014" s="1688"/>
      <c r="E1014" s="1689"/>
      <c r="F1014" s="1689"/>
      <c r="G1014" s="1689"/>
      <c r="H1014" s="1689"/>
      <c r="I1014" s="1689"/>
      <c r="J1014" s="1689"/>
      <c r="K1014" s="1689"/>
      <c r="L1014" s="1689"/>
      <c r="M1014" s="1689"/>
      <c r="N1014" s="1689"/>
      <c r="O1014" s="1689"/>
      <c r="P1014" s="1689"/>
      <c r="Q1014" s="1689"/>
      <c r="R1014" s="1689"/>
      <c r="S1014" s="1689"/>
      <c r="T1014" s="1689"/>
      <c r="U1014" s="1689"/>
      <c r="V1014" s="1689"/>
      <c r="W1014" s="1689"/>
      <c r="X1014" s="1689"/>
      <c r="Y1014" s="1689"/>
      <c r="Z1014" s="1689"/>
      <c r="AA1014" s="1689"/>
      <c r="AB1014" s="1689"/>
      <c r="AC1014" s="1689"/>
      <c r="AD1014" s="1689"/>
      <c r="AE1014" s="1690"/>
      <c r="AF1014" s="1867"/>
      <c r="AG1014" s="1868"/>
      <c r="AH1014" s="1868"/>
      <c r="AI1014" s="1869"/>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2.95" customHeight="1">
      <c r="A1015" s="14"/>
      <c r="B1015" s="79"/>
      <c r="C1015" s="80" t="s">
        <v>219</v>
      </c>
      <c r="D1015" s="1778" t="s">
        <v>1402</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667" t="s">
        <v>678</v>
      </c>
      <c r="AH1015" s="1668"/>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2.95" customHeight="1">
      <c r="A1016" s="14"/>
      <c r="B1016" s="73"/>
      <c r="C1016" s="74"/>
      <c r="D1016" s="1685" t="s">
        <v>1403</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1858" t="str">
        <f>IF(AND(AG1015="Yes",AY1010=0),AY1022,"")</f>
        <v/>
      </c>
      <c r="AG1016" s="1859"/>
      <c r="AH1016" s="1859"/>
      <c r="AI1016" s="1860"/>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2.95" customHeight="1">
      <c r="A1017" s="14"/>
      <c r="B1017" s="73"/>
      <c r="C1017" s="74"/>
      <c r="D1017" s="1685"/>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1858"/>
      <c r="AG1017" s="1859"/>
      <c r="AH1017" s="1859"/>
      <c r="AI1017" s="1860"/>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2.95" customHeight="1">
      <c r="A1018" s="14"/>
      <c r="B1018" s="81"/>
      <c r="C1018" s="8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1861"/>
      <c r="AG1018" s="1862"/>
      <c r="AH1018" s="1862"/>
      <c r="AI1018" s="1863"/>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2.95" customHeight="1">
      <c r="A1019" s="14"/>
      <c r="B1019" s="79"/>
      <c r="C1019" s="80" t="s">
        <v>224</v>
      </c>
      <c r="D1019" s="1808" t="s">
        <v>1404</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7" t="s">
        <v>678</v>
      </c>
      <c r="AH1019" s="1668"/>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45" t="str">
        <f>IF(AG1019="yes","Please Select Type and Enter Amount:","")</f>
        <v/>
      </c>
      <c r="AG1020" s="1846"/>
      <c r="AH1020" s="1846"/>
      <c r="AI1020" s="1847"/>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2.95" customHeight="1">
      <c r="A1021" s="14"/>
      <c r="B1021" s="81"/>
      <c r="C1021" s="84"/>
      <c r="D1021" s="1685" t="s">
        <v>1405</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1845"/>
      <c r="AG1021" s="1846"/>
      <c r="AH1021" s="1846"/>
      <c r="AI1021" s="1847"/>
      <c r="AJ1021" s="1802"/>
      <c r="AK1021" s="1803"/>
      <c r="AL1021" s="1803"/>
      <c r="AM1021" s="1803"/>
      <c r="AN1021" s="1803"/>
      <c r="AO1021" s="1803"/>
      <c r="AP1021" s="1803"/>
      <c r="AQ1021" s="1804"/>
      <c r="AR1021" s="68"/>
      <c r="AS1021" s="68"/>
      <c r="AT1021" s="68"/>
      <c r="AU1021" s="68"/>
      <c r="AV1021" s="68"/>
      <c r="AW1021" s="68"/>
      <c r="AX1021" s="68"/>
      <c r="AY1021" s="68"/>
    </row>
    <row r="1022" spans="1:51" ht="12.95" customHeight="1">
      <c r="A1022" s="14"/>
      <c r="B1022" s="81"/>
      <c r="C1022" s="84"/>
      <c r="D1022" s="1685"/>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1836"/>
      <c r="AG1022" s="1836"/>
      <c r="AH1022" s="1836"/>
      <c r="AI1022" s="1836"/>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7" t="s">
        <v>600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36"/>
      <c r="AG1023" s="1836"/>
      <c r="AH1023" s="1836"/>
      <c r="AI1023" s="1836"/>
      <c r="AJ1023" s="1805"/>
      <c r="AK1023" s="1806"/>
      <c r="AL1023" s="1806"/>
      <c r="AM1023" s="1806"/>
      <c r="AN1023" s="1806"/>
      <c r="AO1023" s="1806"/>
      <c r="AP1023" s="1806"/>
      <c r="AQ1023" s="1807"/>
      <c r="AR1023" s="68"/>
      <c r="AS1023" s="68"/>
      <c r="AT1023" s="68"/>
      <c r="AU1023" s="68"/>
      <c r="AV1023" s="68"/>
      <c r="AW1023" s="68"/>
      <c r="AX1023" s="68"/>
      <c r="AY1023" s="68"/>
    </row>
    <row r="1024" spans="1:51" ht="12.95" customHeight="1">
      <c r="A1024" s="14"/>
      <c r="B1024" s="79"/>
      <c r="C1024" s="80" t="s">
        <v>230</v>
      </c>
      <c r="D1024" s="1781" t="s">
        <v>1406</v>
      </c>
      <c r="E1024" s="1782"/>
      <c r="F1024" s="1782"/>
      <c r="G1024" s="1782"/>
      <c r="H1024" s="1782"/>
      <c r="I1024" s="1782"/>
      <c r="J1024" s="1782"/>
      <c r="K1024" s="1782"/>
      <c r="L1024" s="1782"/>
      <c r="M1024" s="1782"/>
      <c r="N1024" s="1782"/>
      <c r="O1024" s="1782"/>
      <c r="P1024" s="1782"/>
      <c r="Q1024" s="1782"/>
      <c r="R1024" s="1782"/>
      <c r="S1024" s="1782"/>
      <c r="T1024" s="1782"/>
      <c r="U1024" s="1782"/>
      <c r="V1024" s="1782"/>
      <c r="W1024" s="1782"/>
      <c r="X1024" s="1782"/>
      <c r="Y1024" s="1782"/>
      <c r="Z1024" s="1782"/>
      <c r="AA1024" s="1782"/>
      <c r="AB1024" s="1782"/>
      <c r="AC1024" s="1782"/>
      <c r="AD1024" s="1782"/>
      <c r="AE1024" s="1783"/>
      <c r="AF1024" s="79"/>
      <c r="AG1024" s="1667" t="s">
        <v>678</v>
      </c>
      <c r="AH1024" s="1668"/>
      <c r="AI1024" s="87"/>
      <c r="AJ1024" s="1799">
        <f>ROUND(IF(AG1024="Yes",AF1026,0),0)</f>
        <v>0</v>
      </c>
      <c r="AK1024" s="1800"/>
      <c r="AL1024" s="1800"/>
      <c r="AM1024" s="1800"/>
      <c r="AN1024" s="1800"/>
      <c r="AO1024" s="1800"/>
      <c r="AP1024" s="1800"/>
      <c r="AQ1024" s="1801"/>
      <c r="AR1024" s="68"/>
      <c r="AS1024" s="68"/>
      <c r="AT1024" s="68"/>
      <c r="AU1024" s="68"/>
      <c r="AV1024" s="68"/>
      <c r="AW1024" s="68"/>
      <c r="AX1024" s="68"/>
      <c r="AY1024" s="68"/>
    </row>
    <row r="1025" spans="1:51" ht="12.95" customHeight="1">
      <c r="A1025" s="14"/>
      <c r="B1025" s="73"/>
      <c r="C1025" s="74"/>
      <c r="D1025" s="1685" t="s">
        <v>1881</v>
      </c>
      <c r="E1025" s="1686"/>
      <c r="F1025" s="1686"/>
      <c r="G1025" s="1686"/>
      <c r="H1025" s="1686"/>
      <c r="I1025" s="1686"/>
      <c r="J1025" s="1686"/>
      <c r="K1025" s="1686"/>
      <c r="L1025" s="1686"/>
      <c r="M1025" s="1686"/>
      <c r="N1025" s="1686"/>
      <c r="O1025" s="1686"/>
      <c r="P1025" s="1686"/>
      <c r="Q1025" s="1686"/>
      <c r="R1025" s="1686"/>
      <c r="S1025" s="1686"/>
      <c r="T1025" s="1686"/>
      <c r="U1025" s="1686"/>
      <c r="V1025" s="1686"/>
      <c r="W1025" s="1686"/>
      <c r="X1025" s="1686"/>
      <c r="Y1025" s="1686"/>
      <c r="Z1025" s="1686"/>
      <c r="AA1025" s="1686"/>
      <c r="AB1025" s="1686"/>
      <c r="AC1025" s="1686"/>
      <c r="AD1025" s="1686"/>
      <c r="AE1025" s="1687"/>
      <c r="AF1025" s="1817" t="str">
        <f>IF(AG1024="yes","Enter Amount:","")</f>
        <v/>
      </c>
      <c r="AG1025" s="1818"/>
      <c r="AH1025" s="1818"/>
      <c r="AI1025" s="1819"/>
      <c r="AJ1025" s="1802"/>
      <c r="AK1025" s="1803"/>
      <c r="AL1025" s="1803"/>
      <c r="AM1025" s="1803"/>
      <c r="AN1025" s="1803"/>
      <c r="AO1025" s="1803"/>
      <c r="AP1025" s="1803"/>
      <c r="AQ1025" s="1804"/>
      <c r="AR1025" s="68"/>
      <c r="AS1025" s="68"/>
      <c r="AT1025" s="68"/>
      <c r="AU1025" s="68"/>
      <c r="AV1025" s="68"/>
      <c r="AW1025" s="68"/>
      <c r="AX1025" s="68"/>
      <c r="AY1025" s="68"/>
    </row>
    <row r="1026" spans="1:51" ht="12.95" customHeight="1">
      <c r="A1026" s="14"/>
      <c r="B1026" s="73"/>
      <c r="C1026" s="74"/>
      <c r="D1026" s="1685"/>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836"/>
      <c r="AG1026" s="1836"/>
      <c r="AH1026" s="1836"/>
      <c r="AI1026" s="1836"/>
      <c r="AJ1026" s="1802"/>
      <c r="AK1026" s="1803"/>
      <c r="AL1026" s="1803"/>
      <c r="AM1026" s="1803"/>
      <c r="AN1026" s="1803"/>
      <c r="AO1026" s="1803"/>
      <c r="AP1026" s="1803"/>
      <c r="AQ1026" s="1804"/>
      <c r="AR1026" s="68"/>
      <c r="AS1026" s="68"/>
      <c r="AT1026" s="68"/>
      <c r="AU1026" s="68"/>
      <c r="AV1026" s="68"/>
      <c r="AW1026" s="68"/>
      <c r="AX1026" s="68"/>
      <c r="AY1026" s="68"/>
    </row>
    <row r="1027" spans="1:51" ht="12.95" customHeight="1">
      <c r="A1027" s="14"/>
      <c r="B1027" s="85"/>
      <c r="C1027" s="84"/>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836"/>
      <c r="AG1027" s="1836"/>
      <c r="AH1027" s="1836"/>
      <c r="AI1027" s="1836"/>
      <c r="AJ1027" s="1805"/>
      <c r="AK1027" s="1806"/>
      <c r="AL1027" s="1806"/>
      <c r="AM1027" s="1806"/>
      <c r="AN1027" s="1806"/>
      <c r="AO1027" s="1806"/>
      <c r="AP1027" s="1806"/>
      <c r="AQ1027" s="1807"/>
      <c r="AR1027" s="68"/>
      <c r="AS1027" s="68"/>
      <c r="AT1027" s="68"/>
      <c r="AU1027" s="68"/>
      <c r="AV1027" s="68"/>
      <c r="AW1027" s="68"/>
      <c r="AX1027" s="68"/>
      <c r="AY1027" s="68"/>
    </row>
    <row r="1028" spans="1:51" ht="12.95" customHeight="1">
      <c r="A1028" s="14"/>
      <c r="B1028" s="79"/>
      <c r="C1028" s="80" t="s">
        <v>235</v>
      </c>
      <c r="D1028" s="1778" t="s">
        <v>1407</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667" t="s">
        <v>678</v>
      </c>
      <c r="AH1028" s="1668"/>
      <c r="AI1028" s="87"/>
      <c r="AJ1028" s="1799">
        <f>ROUND(IF(AG1028="yes",(AJ991*0.1),0),0)</f>
        <v>0</v>
      </c>
      <c r="AK1028" s="1800"/>
      <c r="AL1028" s="1800"/>
      <c r="AM1028" s="1800"/>
      <c r="AN1028" s="1800"/>
      <c r="AO1028" s="1800"/>
      <c r="AP1028" s="1800"/>
      <c r="AQ1028" s="1801"/>
      <c r="AR1028" s="68"/>
      <c r="AS1028" s="68"/>
      <c r="AT1028" s="68"/>
      <c r="AU1028" s="68"/>
      <c r="AV1028" s="68"/>
      <c r="AW1028" s="68"/>
      <c r="AX1028" s="68"/>
      <c r="AY1028" s="68"/>
    </row>
    <row r="1029" spans="1:51" ht="12.95" customHeight="1">
      <c r="A1029" s="14"/>
      <c r="B1029" s="73"/>
      <c r="C1029" s="74"/>
      <c r="D1029" s="1685" t="s">
        <v>1408</v>
      </c>
      <c r="E1029" s="1686"/>
      <c r="F1029" s="1686"/>
      <c r="G1029" s="1686"/>
      <c r="H1029" s="1686"/>
      <c r="I1029" s="1686"/>
      <c r="J1029" s="1686"/>
      <c r="K1029" s="1686"/>
      <c r="L1029" s="1686"/>
      <c r="M1029" s="1686"/>
      <c r="N1029" s="1686"/>
      <c r="O1029" s="1686"/>
      <c r="P1029" s="1686"/>
      <c r="Q1029" s="1686"/>
      <c r="R1029" s="1686"/>
      <c r="S1029" s="1686"/>
      <c r="T1029" s="1686"/>
      <c r="U1029" s="1686"/>
      <c r="V1029" s="1686"/>
      <c r="W1029" s="1686"/>
      <c r="X1029" s="1686"/>
      <c r="Y1029" s="1686"/>
      <c r="Z1029" s="1686"/>
      <c r="AA1029" s="1686"/>
      <c r="AB1029" s="1686"/>
      <c r="AC1029" s="1686"/>
      <c r="AD1029" s="1686"/>
      <c r="AE1029" s="1687"/>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2.95" customHeight="1">
      <c r="A1030" s="14"/>
      <c r="B1030" s="77"/>
      <c r="C1030" s="74"/>
      <c r="D1030" s="1688"/>
      <c r="E1030" s="1689"/>
      <c r="F1030" s="1689"/>
      <c r="G1030" s="1689"/>
      <c r="H1030" s="1689"/>
      <c r="I1030" s="1689"/>
      <c r="J1030" s="1689"/>
      <c r="K1030" s="1689"/>
      <c r="L1030" s="1689"/>
      <c r="M1030" s="1689"/>
      <c r="N1030" s="1689"/>
      <c r="O1030" s="1689"/>
      <c r="P1030" s="1689"/>
      <c r="Q1030" s="1689"/>
      <c r="R1030" s="1689"/>
      <c r="S1030" s="1689"/>
      <c r="T1030" s="1689"/>
      <c r="U1030" s="1689"/>
      <c r="V1030" s="1689"/>
      <c r="W1030" s="1689"/>
      <c r="X1030" s="1689"/>
      <c r="Y1030" s="1689"/>
      <c r="Z1030" s="1689"/>
      <c r="AA1030" s="1689"/>
      <c r="AB1030" s="1689"/>
      <c r="AC1030" s="1689"/>
      <c r="AD1030" s="1689"/>
      <c r="AE1030" s="1690"/>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2.95" customHeight="1">
      <c r="A1031" s="14"/>
      <c r="B1031" s="73"/>
      <c r="C1031" s="367" t="s">
        <v>697</v>
      </c>
      <c r="D1031" s="1781" t="s">
        <v>1877</v>
      </c>
      <c r="E1031" s="1782"/>
      <c r="F1031" s="1782"/>
      <c r="G1031" s="1782"/>
      <c r="H1031" s="1782"/>
      <c r="I1031" s="1782"/>
      <c r="J1031" s="1782"/>
      <c r="K1031" s="1782"/>
      <c r="L1031" s="1782"/>
      <c r="M1031" s="1782"/>
      <c r="N1031" s="1782"/>
      <c r="O1031" s="1782"/>
      <c r="P1031" s="1782"/>
      <c r="Q1031" s="1782"/>
      <c r="R1031" s="1782"/>
      <c r="S1031" s="1782"/>
      <c r="T1031" s="1782"/>
      <c r="U1031" s="1782"/>
      <c r="V1031" s="1782"/>
      <c r="W1031" s="1782"/>
      <c r="X1031" s="1782"/>
      <c r="Y1031" s="1782"/>
      <c r="Z1031" s="1782"/>
      <c r="AA1031" s="1782"/>
      <c r="AB1031" s="1782"/>
      <c r="AC1031" s="1782"/>
      <c r="AD1031" s="1782"/>
      <c r="AE1031" s="1783"/>
      <c r="AF1031" s="79"/>
      <c r="AG1031" s="1667" t="s">
        <v>678</v>
      </c>
      <c r="AH1031" s="1668"/>
      <c r="AI1031" s="87"/>
      <c r="AJ1031" s="1799">
        <f>ROUND(IF(AG1031="yes",(AJ991*0.15),0),0)</f>
        <v>0</v>
      </c>
      <c r="AK1031" s="1800"/>
      <c r="AL1031" s="1800"/>
      <c r="AM1031" s="1800"/>
      <c r="AN1031" s="1800"/>
      <c r="AO1031" s="1800"/>
      <c r="AP1031" s="1800"/>
      <c r="AQ1031" s="1801"/>
      <c r="AR1031" s="68"/>
      <c r="AS1031" s="68"/>
      <c r="AT1031" s="68"/>
      <c r="AU1031" s="68"/>
      <c r="AV1031" s="68"/>
      <c r="AW1031" s="68"/>
      <c r="AX1031" s="68"/>
      <c r="AY1031" s="68"/>
    </row>
    <row r="1032" spans="1:51" ht="12.95" customHeight="1">
      <c r="A1032" s="14"/>
      <c r="B1032" s="73"/>
      <c r="C1032" s="74"/>
      <c r="D1032" s="1672"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3"/>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2.95" customHeight="1">
      <c r="A1033" s="14"/>
      <c r="B1033" s="73"/>
      <c r="C1033" s="74"/>
      <c r="D1033" s="167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3"/>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2.95" customHeight="1">
      <c r="A1034" s="14"/>
      <c r="B1034" s="73"/>
      <c r="C1034" s="74"/>
      <c r="D1034" s="1674"/>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2.95" customHeight="1">
      <c r="A1035" s="14"/>
      <c r="B1035" s="73"/>
      <c r="C1035" s="367" t="s">
        <v>697</v>
      </c>
      <c r="D1035" s="1778" t="s">
        <v>1879</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683" t="s">
        <v>678</v>
      </c>
      <c r="AH1035" s="1684"/>
      <c r="AI1035" s="83"/>
      <c r="AJ1035" s="1799">
        <f>ROUND(IF(AND(AG1035="yes",AJ1031=0),(AJ991*0.1),0),0)</f>
        <v>0</v>
      </c>
      <c r="AK1035" s="1800"/>
      <c r="AL1035" s="1800"/>
      <c r="AM1035" s="1800"/>
      <c r="AN1035" s="1800"/>
      <c r="AO1035" s="1800"/>
      <c r="AP1035" s="1800"/>
      <c r="AQ1035" s="1801"/>
      <c r="AR1035" s="68"/>
      <c r="AS1035" s="68"/>
      <c r="AT1035" s="68"/>
      <c r="AU1035" s="68"/>
      <c r="AV1035" s="68"/>
      <c r="AW1035" s="68"/>
      <c r="AX1035" s="68"/>
      <c r="AY1035" s="68"/>
    </row>
    <row r="1036" spans="1:51" ht="12.95" customHeight="1">
      <c r="A1036" s="14"/>
      <c r="B1036" s="73"/>
      <c r="C1036" s="74"/>
      <c r="D1036" s="1672"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3"/>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2.95" customHeight="1">
      <c r="A1037" s="14"/>
      <c r="B1037" s="73"/>
      <c r="C1037" s="74"/>
      <c r="D1037" s="167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3"/>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2.95" customHeight="1">
      <c r="A1038" s="14"/>
      <c r="B1038" s="73"/>
      <c r="C1038" s="74"/>
      <c r="D1038" s="167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3"/>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2.95" customHeight="1">
      <c r="A1039" s="14"/>
      <c r="B1039" s="73"/>
      <c r="C1039" s="74"/>
      <c r="D1039" s="1674"/>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2.95" customHeight="1">
      <c r="A1040" s="14"/>
      <c r="B1040" s="79"/>
      <c r="C1040" s="131" t="s">
        <v>1035</v>
      </c>
      <c r="D1040" s="1781" t="s">
        <v>1409</v>
      </c>
      <c r="E1040" s="1782"/>
      <c r="F1040" s="1782"/>
      <c r="G1040" s="1782"/>
      <c r="H1040" s="1782"/>
      <c r="I1040" s="1782"/>
      <c r="J1040" s="1782"/>
      <c r="K1040" s="1782"/>
      <c r="L1040" s="1782"/>
      <c r="M1040" s="1782"/>
      <c r="N1040" s="1782"/>
      <c r="O1040" s="1782"/>
      <c r="P1040" s="1782"/>
      <c r="Q1040" s="1782"/>
      <c r="R1040" s="1782"/>
      <c r="S1040" s="1782"/>
      <c r="T1040" s="1782"/>
      <c r="U1040" s="1782"/>
      <c r="V1040" s="1782"/>
      <c r="W1040" s="1782"/>
      <c r="X1040" s="1782"/>
      <c r="Y1040" s="1782"/>
      <c r="Z1040" s="1782"/>
      <c r="AA1040" s="1782"/>
      <c r="AB1040" s="1782"/>
      <c r="AC1040" s="1782"/>
      <c r="AD1040" s="1782"/>
      <c r="AE1040" s="1783"/>
      <c r="AF1040" s="79"/>
      <c r="AG1040" s="1667" t="s">
        <v>554</v>
      </c>
      <c r="AH1040" s="1668"/>
      <c r="AI1040" s="87"/>
      <c r="AJ1040" s="1799">
        <f>ROUND(IF(AG1040="yes",(AJ991*0.1),0),0)</f>
        <v>4415933</v>
      </c>
      <c r="AK1040" s="1800"/>
      <c r="AL1040" s="1800"/>
      <c r="AM1040" s="1800"/>
      <c r="AN1040" s="1800"/>
      <c r="AO1040" s="1800"/>
      <c r="AP1040" s="1800"/>
      <c r="AQ1040" s="1801"/>
      <c r="AR1040" s="68"/>
      <c r="AS1040" s="68"/>
      <c r="AT1040" s="68"/>
      <c r="AU1040" s="68"/>
      <c r="AV1040" s="68"/>
      <c r="AW1040" s="68"/>
      <c r="AX1040" s="68"/>
      <c r="AY1040" s="68"/>
    </row>
    <row r="1041" spans="1:51" ht="12.95" customHeight="1">
      <c r="A1041" s="14"/>
      <c r="B1041" s="73"/>
      <c r="C1041" s="74"/>
      <c r="D1041" s="1685" t="s">
        <v>2505</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2.95" customHeight="1">
      <c r="A1042" s="14"/>
      <c r="B1042" s="73"/>
      <c r="C1042" s="74"/>
      <c r="D1042" s="1685"/>
      <c r="E1042" s="1686"/>
      <c r="F1042" s="1686"/>
      <c r="G1042" s="1686"/>
      <c r="H1042" s="1686"/>
      <c r="I1042" s="1686"/>
      <c r="J1042" s="1686"/>
      <c r="K1042" s="1686"/>
      <c r="L1042" s="1686"/>
      <c r="M1042" s="1686"/>
      <c r="N1042" s="1686"/>
      <c r="O1042" s="1686"/>
      <c r="P1042" s="1686"/>
      <c r="Q1042" s="1686"/>
      <c r="R1042" s="1686"/>
      <c r="S1042" s="1686"/>
      <c r="T1042" s="1686"/>
      <c r="U1042" s="1686"/>
      <c r="V1042" s="1686"/>
      <c r="W1042" s="1686"/>
      <c r="X1042" s="1686"/>
      <c r="Y1042" s="1686"/>
      <c r="Z1042" s="1686"/>
      <c r="AA1042" s="1686"/>
      <c r="AB1042" s="1686"/>
      <c r="AC1042" s="1686"/>
      <c r="AD1042" s="1686"/>
      <c r="AE1042" s="1687"/>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2.95" customHeight="1">
      <c r="A1043" s="14"/>
      <c r="B1043" s="73"/>
      <c r="C1043" s="74"/>
      <c r="D1043" s="1688"/>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90"/>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2.95" customHeight="1">
      <c r="A1044" s="14"/>
      <c r="B1044" s="79"/>
      <c r="C1044" s="131" t="s">
        <v>1875</v>
      </c>
      <c r="D1044" s="1778" t="s">
        <v>2057</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97" t="str">
        <f>IF(X1047&gt;0,"Yes","No")</f>
        <v>Yes</v>
      </c>
      <c r="AH1044" s="1798"/>
      <c r="AI1044" s="87"/>
      <c r="AJ1044" s="1799">
        <f>IF((X1047=0),0,AY1004*AJ991)</f>
        <v>28703563.199999999</v>
      </c>
      <c r="AK1044" s="1800"/>
      <c r="AL1044" s="1800"/>
      <c r="AM1044" s="1800"/>
      <c r="AN1044" s="1800"/>
      <c r="AO1044" s="1800"/>
      <c r="AP1044" s="1800"/>
      <c r="AQ1044" s="1801"/>
      <c r="AR1044" s="68"/>
      <c r="AS1044" s="68"/>
      <c r="AT1044" s="68"/>
      <c r="AU1044" s="68"/>
      <c r="AV1044" s="68"/>
      <c r="AW1044" s="68"/>
      <c r="AX1044" s="68"/>
      <c r="AY1044" s="68"/>
    </row>
    <row r="1045" spans="1:51" ht="12.95" customHeight="1">
      <c r="A1045" s="14"/>
      <c r="B1045" s="73"/>
      <c r="C1045" s="476"/>
      <c r="D1045" s="1685" t="s">
        <v>1411</v>
      </c>
      <c r="E1045" s="1686"/>
      <c r="F1045" s="1686"/>
      <c r="G1045" s="1686"/>
      <c r="H1045" s="1686"/>
      <c r="I1045" s="1686"/>
      <c r="J1045" s="1686"/>
      <c r="K1045" s="1686"/>
      <c r="L1045" s="1686"/>
      <c r="M1045" s="1686"/>
      <c r="N1045" s="1686"/>
      <c r="O1045" s="1686"/>
      <c r="P1045" s="1686"/>
      <c r="Q1045" s="1686"/>
      <c r="R1045" s="1686"/>
      <c r="S1045" s="1686"/>
      <c r="T1045" s="1686"/>
      <c r="U1045" s="1686"/>
      <c r="V1045" s="1686"/>
      <c r="W1045" s="1686"/>
      <c r="X1045" s="1686"/>
      <c r="Y1045" s="1686"/>
      <c r="Z1045" s="1686"/>
      <c r="AA1045" s="1686"/>
      <c r="AB1045" s="1686"/>
      <c r="AC1045" s="1686"/>
      <c r="AD1045" s="1686"/>
      <c r="AE1045" s="1687"/>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2.95" customHeight="1">
      <c r="A1046" s="14"/>
      <c r="B1046" s="73"/>
      <c r="C1046" s="476"/>
      <c r="D1046" s="1685"/>
      <c r="E1046" s="1686"/>
      <c r="F1046" s="1686"/>
      <c r="G1046" s="1686"/>
      <c r="H1046" s="1686"/>
      <c r="I1046" s="1686"/>
      <c r="J1046" s="1686"/>
      <c r="K1046" s="1686"/>
      <c r="L1046" s="1686"/>
      <c r="M1046" s="1686"/>
      <c r="N1046" s="1686"/>
      <c r="O1046" s="1686"/>
      <c r="P1046" s="1686"/>
      <c r="Q1046" s="1686"/>
      <c r="R1046" s="1686"/>
      <c r="S1046" s="1686"/>
      <c r="T1046" s="1686"/>
      <c r="U1046" s="1686"/>
      <c r="V1046" s="1686"/>
      <c r="W1046" s="1686"/>
      <c r="X1046" s="1686"/>
      <c r="Y1046" s="1686"/>
      <c r="Z1046" s="1686"/>
      <c r="AA1046" s="1686"/>
      <c r="AB1046" s="1686"/>
      <c r="AC1046" s="1686"/>
      <c r="AD1046" s="1686"/>
      <c r="AE1046" s="1687"/>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95">
        <f>AY1002</f>
        <v>99</v>
      </c>
      <c r="J1047" s="1796"/>
      <c r="K1047" s="7"/>
      <c r="L1047" s="133"/>
      <c r="M1047" s="133"/>
      <c r="N1047" s="133"/>
      <c r="O1047" s="133"/>
      <c r="P1047" s="133"/>
      <c r="Q1047" s="133"/>
      <c r="R1047" s="133"/>
      <c r="S1047" s="133"/>
      <c r="T1047" s="133"/>
      <c r="U1047" s="133"/>
      <c r="V1047" s="134" t="s">
        <v>993</v>
      </c>
      <c r="W1047" s="48"/>
      <c r="X1047" s="1793">
        <f>BG632</f>
        <v>65</v>
      </c>
      <c r="Y1047" s="1794"/>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2.95" customHeight="1">
      <c r="A1048" s="14"/>
      <c r="B1048" s="79"/>
      <c r="C1048" s="131" t="s">
        <v>1876</v>
      </c>
      <c r="D1048" s="1781" t="s">
        <v>2536</v>
      </c>
      <c r="E1048" s="1782"/>
      <c r="F1048" s="1782"/>
      <c r="G1048" s="1782"/>
      <c r="H1048" s="1782"/>
      <c r="I1048" s="1782"/>
      <c r="J1048" s="1782"/>
      <c r="K1048" s="1782"/>
      <c r="L1048" s="1782"/>
      <c r="M1048" s="1782"/>
      <c r="N1048" s="1782"/>
      <c r="O1048" s="1782"/>
      <c r="P1048" s="1782"/>
      <c r="Q1048" s="1782"/>
      <c r="R1048" s="1782"/>
      <c r="S1048" s="1782"/>
      <c r="T1048" s="1782"/>
      <c r="U1048" s="1782"/>
      <c r="V1048" s="1782"/>
      <c r="W1048" s="1782"/>
      <c r="X1048" s="1782"/>
      <c r="Y1048" s="1782"/>
      <c r="Z1048" s="1782"/>
      <c r="AA1048" s="1782"/>
      <c r="AB1048" s="1782"/>
      <c r="AC1048" s="1782"/>
      <c r="AD1048" s="1782"/>
      <c r="AE1048" s="1783"/>
      <c r="AF1048" s="73"/>
      <c r="AG1048" s="1797" t="str">
        <f>IF(X1051&gt;0,"Yes","No")</f>
        <v>Yes</v>
      </c>
      <c r="AH1048" s="1798"/>
      <c r="AI1048" s="83"/>
      <c r="AJ1048" s="1799">
        <f>IF((X1051=0),0,(2*AY1005)*AJ991)</f>
        <v>9715052.1600000001</v>
      </c>
      <c r="AK1048" s="1800"/>
      <c r="AL1048" s="1800"/>
      <c r="AM1048" s="1800"/>
      <c r="AN1048" s="1800"/>
      <c r="AO1048" s="1800"/>
      <c r="AP1048" s="1800"/>
      <c r="AQ1048" s="1801"/>
      <c r="AR1048" s="68"/>
      <c r="AS1048" s="68"/>
      <c r="AT1048" s="68"/>
      <c r="AU1048" s="14"/>
      <c r="AV1048" s="68"/>
      <c r="AW1048" s="68"/>
      <c r="AX1048" s="68"/>
      <c r="AY1048" s="68"/>
    </row>
    <row r="1049" spans="1:51" ht="12.95" customHeight="1">
      <c r="A1049" s="14"/>
      <c r="B1049" s="73"/>
      <c r="C1049" s="476"/>
      <c r="D1049" s="1685" t="s">
        <v>1410</v>
      </c>
      <c r="E1049" s="1686"/>
      <c r="F1049" s="1686"/>
      <c r="G1049" s="1686"/>
      <c r="H1049" s="1686"/>
      <c r="I1049" s="1686"/>
      <c r="J1049" s="1686"/>
      <c r="K1049" s="1686"/>
      <c r="L1049" s="1686"/>
      <c r="M1049" s="1686"/>
      <c r="N1049" s="1686"/>
      <c r="O1049" s="1686"/>
      <c r="P1049" s="1686"/>
      <c r="Q1049" s="1686"/>
      <c r="R1049" s="1686"/>
      <c r="S1049" s="1686"/>
      <c r="T1049" s="1686"/>
      <c r="U1049" s="1686"/>
      <c r="V1049" s="1686"/>
      <c r="W1049" s="1686"/>
      <c r="X1049" s="1686"/>
      <c r="Y1049" s="1686"/>
      <c r="Z1049" s="1686"/>
      <c r="AA1049" s="1686"/>
      <c r="AB1049" s="1686"/>
      <c r="AC1049" s="1686"/>
      <c r="AD1049" s="1686"/>
      <c r="AE1049" s="1687"/>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2.95" customHeight="1">
      <c r="A1050" s="14"/>
      <c r="B1050" s="73"/>
      <c r="C1050" s="83"/>
      <c r="D1050" s="1685"/>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95">
        <f>AY1002</f>
        <v>99</v>
      </c>
      <c r="J1051" s="1796"/>
      <c r="K1051" s="14"/>
      <c r="L1051" s="133"/>
      <c r="M1051" s="133"/>
      <c r="N1051" s="133"/>
      <c r="O1051" s="133"/>
      <c r="P1051" s="133"/>
      <c r="Q1051" s="133"/>
      <c r="R1051" s="133"/>
      <c r="S1051" s="133"/>
      <c r="T1051" s="133"/>
      <c r="U1051" s="133"/>
      <c r="V1051" s="134" t="s">
        <v>994</v>
      </c>
      <c r="X1051" s="1793">
        <f>BK632</f>
        <v>11</v>
      </c>
      <c r="Y1051" s="1794"/>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2.95" customHeight="1">
      <c r="A1052" s="14"/>
      <c r="B1052" s="102"/>
      <c r="C1052" s="103"/>
      <c r="D1052" s="1791" t="s">
        <v>522</v>
      </c>
      <c r="E1052" s="1791"/>
      <c r="F1052" s="1791"/>
      <c r="G1052" s="1791"/>
      <c r="H1052" s="1791"/>
      <c r="I1052" s="1791"/>
      <c r="J1052" s="1791"/>
      <c r="K1052" s="1791"/>
      <c r="L1052" s="1791"/>
      <c r="M1052" s="1791"/>
      <c r="N1052" s="1791"/>
      <c r="O1052" s="1791"/>
      <c r="P1052" s="1791"/>
      <c r="Q1052" s="1791"/>
      <c r="R1052" s="1791"/>
      <c r="S1052" s="1791"/>
      <c r="T1052" s="1791"/>
      <c r="U1052" s="1791"/>
      <c r="V1052" s="1791"/>
      <c r="W1052" s="1791"/>
      <c r="X1052" s="1791"/>
      <c r="Y1052" s="1791"/>
      <c r="Z1052" s="1791"/>
      <c r="AA1052" s="1791"/>
      <c r="AB1052" s="1791"/>
      <c r="AC1052" s="1791"/>
      <c r="AD1052" s="1791"/>
      <c r="AE1052" s="1791"/>
      <c r="AF1052" s="1791"/>
      <c r="AG1052" s="1791"/>
      <c r="AH1052" s="1791"/>
      <c r="AI1052" s="1792"/>
      <c r="AJ1052" s="1694">
        <f>SUM(AJ991:AQ1051)</f>
        <v>95825742.359999999</v>
      </c>
      <c r="AK1052" s="1695"/>
      <c r="AL1052" s="1695"/>
      <c r="AM1052" s="1695"/>
      <c r="AN1052" s="1695"/>
      <c r="AO1052" s="1695"/>
      <c r="AP1052" s="1695"/>
      <c r="AQ1052" s="16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1">
        <f>IF(ISNA(IF((AJ1019&gt;(AJ991*0.15)),"(f) cannot be greater than 15% of unadjusted eligible basis.",0)),"",(IF((AJ1019&gt;(AJ991*0.15)),"(f) cannot be greater than 15% of unadjusted eligible basis.",0)))</f>
        <v>0</v>
      </c>
      <c r="C1059" s="1871"/>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1871"/>
      <c r="AP1059" s="1871"/>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CC655:CG655"/>
    <mergeCell ref="CH655:CL655"/>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fitToHeight="2"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workbookViewId="0">
      <selection activeCell="S85" sqref="S8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1)HCD-Infill Infrastructure Grant Program</v>
      </c>
      <c r="G2" s="139" t="str">
        <f>Application!B628&amp;Application!C628</f>
        <v xml:space="preserve">2)HCD-Joe Serna Jr. FWHG </v>
      </c>
      <c r="H2" s="139" t="str">
        <f>Application!B629&amp;Application!C629</f>
        <v xml:space="preserve">3)HCD-Multifamily Housing Program </v>
      </c>
      <c r="I2" s="139" t="str">
        <f>Application!B630&amp;Application!C630</f>
        <v xml:space="preserve">4)Deferred Developer Fees </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v>2500000</v>
      </c>
      <c r="D4" s="147"/>
      <c r="E4" s="147">
        <v>2500000</v>
      </c>
      <c r="F4" s="147"/>
      <c r="G4" s="147"/>
      <c r="H4" s="147"/>
      <c r="I4" s="147"/>
      <c r="J4" s="147"/>
      <c r="K4" s="147"/>
      <c r="L4" s="147"/>
      <c r="M4" s="147"/>
      <c r="N4" s="147"/>
      <c r="O4" s="147"/>
      <c r="P4" s="147"/>
      <c r="Q4" s="147"/>
      <c r="R4" s="550">
        <f>SUM(E4:Q4)</f>
        <v>2500000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2500000</v>
      </c>
      <c r="C8" s="146">
        <f t="shared" ref="C8:Q8" si="0">SUM(C4:C7)</f>
        <v>2500000</v>
      </c>
      <c r="D8" s="146">
        <f t="shared" si="0"/>
        <v>0</v>
      </c>
      <c r="E8" s="146">
        <f t="shared" si="0"/>
        <v>2500000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2500000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2500000</v>
      </c>
      <c r="C12" s="146">
        <f t="shared" si="2"/>
        <v>2500000</v>
      </c>
      <c r="D12" s="146">
        <f t="shared" si="2"/>
        <v>0</v>
      </c>
      <c r="E12" s="146">
        <f t="shared" si="2"/>
        <v>2500000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2500000</v>
      </c>
      <c r="S12" s="148"/>
      <c r="T12" s="148"/>
      <c r="U12" s="143"/>
    </row>
    <row r="13" spans="1:21" s="144" customFormat="1">
      <c r="A13" s="309" t="s">
        <v>918</v>
      </c>
      <c r="B13" s="146">
        <f>SUM(C13+D13)</f>
        <v>964300</v>
      </c>
      <c r="C13" s="147">
        <f>593500+370800</f>
        <v>964300</v>
      </c>
      <c r="D13" s="147"/>
      <c r="E13" s="147">
        <f>C13</f>
        <v>964300</v>
      </c>
      <c r="F13" s="147"/>
      <c r="G13" s="147"/>
      <c r="H13" s="147"/>
      <c r="I13" s="147"/>
      <c r="J13" s="147"/>
      <c r="K13" s="147"/>
      <c r="L13" s="147"/>
      <c r="M13" s="147"/>
      <c r="N13" s="147"/>
      <c r="O13" s="147"/>
      <c r="P13" s="147"/>
      <c r="Q13" s="147"/>
      <c r="R13" s="550">
        <f>SUM(E13:Q13)</f>
        <v>964300</v>
      </c>
      <c r="S13" s="147">
        <f>R13-370800</f>
        <v>593500</v>
      </c>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5469400</v>
      </c>
      <c r="C29" s="147">
        <f>5469400</f>
        <v>5469400</v>
      </c>
      <c r="D29" s="147"/>
      <c r="E29" s="147"/>
      <c r="F29" s="147">
        <f>+C29</f>
        <v>5469400</v>
      </c>
      <c r="G29" s="147"/>
      <c r="H29" s="147"/>
      <c r="I29" s="147"/>
      <c r="J29" s="147"/>
      <c r="K29" s="147"/>
      <c r="L29" s="147"/>
      <c r="M29" s="147"/>
      <c r="N29" s="147"/>
      <c r="O29" s="147"/>
      <c r="P29" s="147"/>
      <c r="Q29" s="147"/>
      <c r="R29" s="550">
        <f t="shared" ref="R29:R37" si="7">SUM(E29:Q29)</f>
        <v>5469400</v>
      </c>
      <c r="S29" s="147">
        <f t="shared" ref="S29:S35" si="8">+R29</f>
        <v>5469400</v>
      </c>
      <c r="T29" s="147"/>
      <c r="U29" s="143"/>
    </row>
    <row r="30" spans="1:21" s="144" customFormat="1">
      <c r="A30" s="145" t="s">
        <v>608</v>
      </c>
      <c r="B30" s="146">
        <f t="shared" si="6"/>
        <v>26590179</v>
      </c>
      <c r="C30" s="147">
        <v>26590179</v>
      </c>
      <c r="D30" s="147"/>
      <c r="E30" s="147">
        <f>C30-SUM(F30:Q30)</f>
        <v>1239579</v>
      </c>
      <c r="F30" s="147"/>
      <c r="G30" s="147">
        <v>3552450</v>
      </c>
      <c r="H30" s="147">
        <v>21798150</v>
      </c>
      <c r="I30" s="147"/>
      <c r="J30" s="147"/>
      <c r="K30" s="147"/>
      <c r="L30" s="147"/>
      <c r="M30" s="147"/>
      <c r="N30" s="147"/>
      <c r="O30" s="147"/>
      <c r="P30" s="147"/>
      <c r="Q30" s="147"/>
      <c r="R30" s="550">
        <f t="shared" si="7"/>
        <v>26590179</v>
      </c>
      <c r="S30" s="147">
        <f t="shared" si="8"/>
        <v>26590179</v>
      </c>
      <c r="T30" s="147"/>
      <c r="U30" s="143"/>
    </row>
    <row r="31" spans="1:21" s="144" customFormat="1">
      <c r="A31" s="145" t="s">
        <v>609</v>
      </c>
      <c r="B31" s="146">
        <f t="shared" si="6"/>
        <v>1109520</v>
      </c>
      <c r="C31" s="147">
        <v>1109520</v>
      </c>
      <c r="D31" s="147"/>
      <c r="E31" s="147"/>
      <c r="F31" s="147"/>
      <c r="G31" s="147">
        <f>+C31</f>
        <v>1109520</v>
      </c>
      <c r="H31" s="147"/>
      <c r="I31" s="147"/>
      <c r="J31" s="147"/>
      <c r="K31" s="147"/>
      <c r="L31" s="147"/>
      <c r="M31" s="147"/>
      <c r="N31" s="147"/>
      <c r="O31" s="147"/>
      <c r="P31" s="147"/>
      <c r="Q31" s="147"/>
      <c r="R31" s="550">
        <f t="shared" si="7"/>
        <v>1109520</v>
      </c>
      <c r="S31" s="147">
        <f t="shared" si="8"/>
        <v>1109520</v>
      </c>
      <c r="T31" s="147"/>
      <c r="U31" s="143"/>
    </row>
    <row r="32" spans="1:21" s="144" customFormat="1">
      <c r="A32" s="145" t="s">
        <v>137</v>
      </c>
      <c r="B32" s="146">
        <f t="shared" si="6"/>
        <v>2034120</v>
      </c>
      <c r="C32" s="147">
        <f>4068240/2</f>
        <v>2034120</v>
      </c>
      <c r="D32" s="147"/>
      <c r="E32" s="147"/>
      <c r="F32" s="147"/>
      <c r="G32" s="147">
        <f>+C32</f>
        <v>2034120</v>
      </c>
      <c r="H32" s="147"/>
      <c r="I32" s="147"/>
      <c r="J32" s="147"/>
      <c r="K32" s="147"/>
      <c r="L32" s="147"/>
      <c r="M32" s="147"/>
      <c r="N32" s="147"/>
      <c r="O32" s="147"/>
      <c r="P32" s="147"/>
      <c r="Q32" s="147"/>
      <c r="R32" s="550">
        <f t="shared" si="7"/>
        <v>2034120</v>
      </c>
      <c r="S32" s="147">
        <f t="shared" si="8"/>
        <v>2034120</v>
      </c>
      <c r="T32" s="147"/>
      <c r="U32" s="143"/>
    </row>
    <row r="33" spans="1:21" s="144" customFormat="1">
      <c r="A33" s="145" t="s">
        <v>138</v>
      </c>
      <c r="B33" s="146">
        <f t="shared" si="6"/>
        <v>2034120</v>
      </c>
      <c r="C33" s="147">
        <v>2034120</v>
      </c>
      <c r="D33" s="147"/>
      <c r="E33" s="147"/>
      <c r="F33" s="147"/>
      <c r="G33" s="147">
        <f>+C33</f>
        <v>2034120</v>
      </c>
      <c r="H33" s="147"/>
      <c r="I33" s="147"/>
      <c r="J33" s="147"/>
      <c r="K33" s="147"/>
      <c r="L33" s="147"/>
      <c r="M33" s="147"/>
      <c r="N33" s="147"/>
      <c r="O33" s="147"/>
      <c r="P33" s="147"/>
      <c r="Q33" s="147"/>
      <c r="R33" s="550">
        <f t="shared" si="7"/>
        <v>2034120</v>
      </c>
      <c r="S33" s="147">
        <f t="shared" si="8"/>
        <v>2034120</v>
      </c>
      <c r="T33" s="147"/>
      <c r="U33" s="143"/>
    </row>
    <row r="34" spans="1:21" s="144" customFormat="1">
      <c r="A34" s="145" t="s">
        <v>139</v>
      </c>
      <c r="B34" s="146">
        <f t="shared" si="6"/>
        <v>6164000</v>
      </c>
      <c r="C34" s="147">
        <v>6164000</v>
      </c>
      <c r="D34" s="147"/>
      <c r="E34" s="147">
        <f>+C34-G34</f>
        <v>4346764</v>
      </c>
      <c r="F34" s="147"/>
      <c r="G34" s="147">
        <f>10547446-SUM(G30:G33)</f>
        <v>1817236</v>
      </c>
      <c r="H34" s="147"/>
      <c r="I34" s="147"/>
      <c r="J34" s="147"/>
      <c r="K34" s="147"/>
      <c r="L34" s="147"/>
      <c r="M34" s="147"/>
      <c r="N34" s="147"/>
      <c r="O34" s="147"/>
      <c r="P34" s="147"/>
      <c r="Q34" s="147"/>
      <c r="R34" s="550">
        <f t="shared" si="7"/>
        <v>6164000</v>
      </c>
      <c r="S34" s="147">
        <f t="shared" si="8"/>
        <v>6164000</v>
      </c>
      <c r="T34" s="147"/>
      <c r="U34" s="143"/>
    </row>
    <row r="35" spans="1:21" s="144" customFormat="1">
      <c r="A35" s="145" t="s">
        <v>140</v>
      </c>
      <c r="B35" s="146">
        <f t="shared" si="6"/>
        <v>820000</v>
      </c>
      <c r="C35" s="147">
        <v>820000</v>
      </c>
      <c r="D35" s="147"/>
      <c r="E35" s="147">
        <f>+C35</f>
        <v>820000</v>
      </c>
      <c r="F35" s="147"/>
      <c r="G35" s="147"/>
      <c r="H35" s="147"/>
      <c r="I35" s="147"/>
      <c r="J35" s="147"/>
      <c r="K35" s="147"/>
      <c r="L35" s="147"/>
      <c r="M35" s="147"/>
      <c r="N35" s="147"/>
      <c r="O35" s="147"/>
      <c r="P35" s="147"/>
      <c r="Q35" s="147"/>
      <c r="R35" s="550">
        <f t="shared" si="7"/>
        <v>820000</v>
      </c>
      <c r="S35" s="147">
        <f t="shared" si="8"/>
        <v>820000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2771</v>
      </c>
      <c r="B37" s="146">
        <f t="shared" si="6"/>
        <v>127184</v>
      </c>
      <c r="C37" s="147">
        <v>127184</v>
      </c>
      <c r="D37" s="147"/>
      <c r="E37" s="147">
        <f>+C37</f>
        <v>127184</v>
      </c>
      <c r="F37" s="147"/>
      <c r="G37" s="147"/>
      <c r="H37" s="147"/>
      <c r="I37" s="147"/>
      <c r="J37" s="147"/>
      <c r="K37" s="147"/>
      <c r="L37" s="147"/>
      <c r="M37" s="147"/>
      <c r="N37" s="147"/>
      <c r="O37" s="147"/>
      <c r="P37" s="147"/>
      <c r="Q37" s="147"/>
      <c r="R37" s="550">
        <f t="shared" si="7"/>
        <v>127184</v>
      </c>
      <c r="S37" s="147">
        <f>+R37</f>
        <v>127184</v>
      </c>
      <c r="T37" s="147"/>
      <c r="U37" s="143"/>
    </row>
    <row r="38" spans="1:21" s="144" customFormat="1">
      <c r="A38" s="149" t="s">
        <v>143</v>
      </c>
      <c r="B38" s="146">
        <f t="shared" si="6"/>
        <v>44348523</v>
      </c>
      <c r="C38" s="146">
        <f>SUM(C29:C37)</f>
        <v>44348523</v>
      </c>
      <c r="D38" s="146">
        <f t="shared" ref="D38:Q38" si="9">SUM(D29:D37)</f>
        <v>0</v>
      </c>
      <c r="E38" s="146">
        <f t="shared" si="9"/>
        <v>6533527</v>
      </c>
      <c r="F38" s="146">
        <f t="shared" si="9"/>
        <v>5469400</v>
      </c>
      <c r="G38" s="146">
        <f t="shared" si="9"/>
        <v>10547446</v>
      </c>
      <c r="H38" s="146">
        <f t="shared" si="9"/>
        <v>21798150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44348523</v>
      </c>
      <c r="S38" s="150">
        <f>SUM(S29:S37)</f>
        <v>44348523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931150</v>
      </c>
      <c r="C40" s="147">
        <v>931150</v>
      </c>
      <c r="D40" s="147"/>
      <c r="E40" s="147">
        <f t="shared" ref="E40:E41" si="10">+C40</f>
        <v>931150</v>
      </c>
      <c r="F40" s="147"/>
      <c r="G40" s="147"/>
      <c r="H40" s="147"/>
      <c r="I40" s="147"/>
      <c r="J40" s="147"/>
      <c r="K40" s="147"/>
      <c r="L40" s="147"/>
      <c r="M40" s="147"/>
      <c r="N40" s="147"/>
      <c r="O40" s="147"/>
      <c r="P40" s="147"/>
      <c r="Q40" s="147"/>
      <c r="R40" s="550">
        <f>SUM(E40:Q40)</f>
        <v>931150</v>
      </c>
      <c r="S40" s="147">
        <f t="shared" ref="S40:S41" si="11">+R40</f>
        <v>931150</v>
      </c>
      <c r="T40" s="147"/>
      <c r="U40" s="143"/>
    </row>
    <row r="41" spans="1:21" s="144" customFormat="1">
      <c r="A41" s="145" t="s">
        <v>146</v>
      </c>
      <c r="B41" s="146">
        <f>SUM(C41+D41)</f>
        <v>296200</v>
      </c>
      <c r="C41" s="147">
        <v>296200</v>
      </c>
      <c r="D41" s="147"/>
      <c r="E41" s="147">
        <f t="shared" si="10"/>
        <v>296200</v>
      </c>
      <c r="F41" s="147"/>
      <c r="G41" s="147"/>
      <c r="H41" s="147"/>
      <c r="I41" s="147"/>
      <c r="J41" s="147"/>
      <c r="K41" s="147"/>
      <c r="L41" s="147"/>
      <c r="M41" s="147"/>
      <c r="N41" s="147"/>
      <c r="O41" s="147"/>
      <c r="P41" s="147"/>
      <c r="Q41" s="147"/>
      <c r="R41" s="550">
        <f>SUM(E41:Q41)</f>
        <v>296200</v>
      </c>
      <c r="S41" s="147">
        <f t="shared" si="11"/>
        <v>296200</v>
      </c>
      <c r="T41" s="147"/>
      <c r="U41" s="143"/>
    </row>
    <row r="42" spans="1:21" s="144" customFormat="1">
      <c r="A42" s="149" t="s">
        <v>147</v>
      </c>
      <c r="B42" s="146">
        <f>SUM(C42:D42)</f>
        <v>1227350</v>
      </c>
      <c r="C42" s="146">
        <f>SUM(C39:C41)</f>
        <v>1227350</v>
      </c>
      <c r="D42" s="146">
        <f>SUM(D39:D41)</f>
        <v>0</v>
      </c>
      <c r="E42" s="146">
        <f t="shared" ref="E42:T42" si="12">SUM(E40:E41)</f>
        <v>1227350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1227350</v>
      </c>
      <c r="S42" s="150">
        <f t="shared" si="12"/>
        <v>1227350</v>
      </c>
      <c r="T42" s="150">
        <f t="shared" si="12"/>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7102543</v>
      </c>
      <c r="C45" s="147">
        <f>5898721+1203822</f>
        <v>7102543</v>
      </c>
      <c r="D45" s="147"/>
      <c r="E45" s="147">
        <f t="shared" ref="E45:E46" si="14">+C45</f>
        <v>7102543</v>
      </c>
      <c r="F45" s="147"/>
      <c r="G45" s="147"/>
      <c r="H45" s="147"/>
      <c r="I45" s="147"/>
      <c r="J45" s="147"/>
      <c r="K45" s="147"/>
      <c r="L45" s="147"/>
      <c r="M45" s="147"/>
      <c r="N45" s="147"/>
      <c r="O45" s="147"/>
      <c r="P45" s="147"/>
      <c r="Q45" s="147"/>
      <c r="R45" s="550">
        <f t="shared" ref="R45:R53" si="15">SUM(E45:Q45)</f>
        <v>7102543</v>
      </c>
      <c r="S45" s="147">
        <f>3507348+186508</f>
        <v>3693856</v>
      </c>
      <c r="T45" s="147"/>
      <c r="U45" s="143"/>
    </row>
    <row r="46" spans="1:21" s="144" customFormat="1">
      <c r="A46" s="145" t="s">
        <v>151</v>
      </c>
      <c r="B46" s="146">
        <f t="shared" si="13"/>
        <v>546264</v>
      </c>
      <c r="C46" s="147">
        <v>546264</v>
      </c>
      <c r="D46" s="147"/>
      <c r="E46" s="147">
        <f t="shared" si="14"/>
        <v>546264</v>
      </c>
      <c r="F46" s="147"/>
      <c r="G46" s="147"/>
      <c r="H46" s="147"/>
      <c r="I46" s="147"/>
      <c r="J46" s="147"/>
      <c r="K46" s="147"/>
      <c r="L46" s="147"/>
      <c r="M46" s="147"/>
      <c r="N46" s="147"/>
      <c r="O46" s="147"/>
      <c r="P46" s="147"/>
      <c r="Q46" s="147"/>
      <c r="R46" s="550">
        <f t="shared" si="15"/>
        <v>546264</v>
      </c>
      <c r="S46" s="147">
        <v>284098</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3"/>
        <v>203366</v>
      </c>
      <c r="C49" s="147">
        <f>64813+81940+25000+12000+14613+5000</f>
        <v>203366</v>
      </c>
      <c r="D49" s="147"/>
      <c r="E49" s="147">
        <f t="shared" ref="E49:E53" si="16">+C49</f>
        <v>203366</v>
      </c>
      <c r="F49" s="147"/>
      <c r="G49" s="147"/>
      <c r="H49" s="147"/>
      <c r="I49" s="147"/>
      <c r="J49" s="147"/>
      <c r="K49" s="147"/>
      <c r="L49" s="147"/>
      <c r="M49" s="147"/>
      <c r="N49" s="147"/>
      <c r="O49" s="147"/>
      <c r="P49" s="147"/>
      <c r="Q49" s="147"/>
      <c r="R49" s="550">
        <f t="shared" si="15"/>
        <v>203366</v>
      </c>
      <c r="S49" s="147">
        <f>42615+13002+6241</f>
        <v>61858</v>
      </c>
      <c r="T49" s="147"/>
      <c r="U49" s="143"/>
    </row>
    <row r="50" spans="1:21" s="144" customFormat="1">
      <c r="A50" s="145" t="s">
        <v>156</v>
      </c>
      <c r="B50" s="146">
        <f t="shared" si="13"/>
        <v>100000</v>
      </c>
      <c r="C50" s="147">
        <v>100000</v>
      </c>
      <c r="D50" s="147"/>
      <c r="E50" s="147">
        <f t="shared" si="16"/>
        <v>100000</v>
      </c>
      <c r="F50" s="147"/>
      <c r="G50" s="147"/>
      <c r="H50" s="147"/>
      <c r="I50" s="147"/>
      <c r="J50" s="147"/>
      <c r="K50" s="147"/>
      <c r="L50" s="147"/>
      <c r="M50" s="147"/>
      <c r="N50" s="147"/>
      <c r="O50" s="147"/>
      <c r="P50" s="147"/>
      <c r="Q50" s="147"/>
      <c r="R50" s="550">
        <f t="shared" si="15"/>
        <v>100000</v>
      </c>
      <c r="S50" s="147">
        <f>+R50</f>
        <v>100000</v>
      </c>
      <c r="T50" s="147"/>
      <c r="U50" s="143"/>
    </row>
    <row r="51" spans="1:21" s="144" customFormat="1">
      <c r="A51" s="304" t="s">
        <v>154</v>
      </c>
      <c r="B51" s="146">
        <f t="shared" si="13"/>
        <v>67500</v>
      </c>
      <c r="C51" s="147">
        <v>67500</v>
      </c>
      <c r="D51" s="147"/>
      <c r="E51" s="147">
        <f t="shared" si="16"/>
        <v>67500</v>
      </c>
      <c r="F51" s="147"/>
      <c r="G51" s="147"/>
      <c r="H51" s="147"/>
      <c r="I51" s="147"/>
      <c r="J51" s="147"/>
      <c r="K51" s="147"/>
      <c r="L51" s="147"/>
      <c r="M51" s="147"/>
      <c r="N51" s="147"/>
      <c r="O51" s="147"/>
      <c r="P51" s="147"/>
      <c r="Q51" s="147"/>
      <c r="R51" s="550">
        <f t="shared" si="15"/>
        <v>67500</v>
      </c>
      <c r="S51" s="147">
        <f>+R51</f>
        <v>67500</v>
      </c>
      <c r="T51" s="147"/>
      <c r="U51" s="143"/>
    </row>
    <row r="52" spans="1:21" s="144" customFormat="1">
      <c r="A52" s="145" t="s">
        <v>155</v>
      </c>
      <c r="B52" s="146">
        <f t="shared" si="13"/>
        <v>895000</v>
      </c>
      <c r="C52" s="147">
        <v>895000</v>
      </c>
      <c r="D52" s="147"/>
      <c r="E52" s="147">
        <f t="shared" si="16"/>
        <v>895000</v>
      </c>
      <c r="F52" s="147"/>
      <c r="G52" s="147"/>
      <c r="H52" s="147"/>
      <c r="I52" s="147"/>
      <c r="J52" s="147"/>
      <c r="K52" s="147"/>
      <c r="L52" s="147"/>
      <c r="M52" s="147"/>
      <c r="N52" s="147"/>
      <c r="O52" s="147"/>
      <c r="P52" s="147"/>
      <c r="Q52" s="147"/>
      <c r="R52" s="550">
        <f t="shared" si="15"/>
        <v>895000</v>
      </c>
      <c r="S52" s="147">
        <f>+R52</f>
        <v>895000</v>
      </c>
      <c r="T52" s="147"/>
      <c r="U52" s="143"/>
    </row>
    <row r="53" spans="1:21" s="144" customFormat="1">
      <c r="A53" s="1193" t="s">
        <v>2772</v>
      </c>
      <c r="B53" s="146">
        <f t="shared" si="13"/>
        <v>309500</v>
      </c>
      <c r="C53" s="147">
        <f>154750*2</f>
        <v>309500</v>
      </c>
      <c r="D53" s="147"/>
      <c r="E53" s="147">
        <f t="shared" si="16"/>
        <v>309500</v>
      </c>
      <c r="F53" s="147"/>
      <c r="G53" s="147"/>
      <c r="H53" s="147"/>
      <c r="I53" s="147"/>
      <c r="J53" s="147"/>
      <c r="K53" s="147"/>
      <c r="L53" s="147"/>
      <c r="M53" s="147"/>
      <c r="N53" s="147"/>
      <c r="O53" s="147"/>
      <c r="P53" s="147"/>
      <c r="Q53" s="147"/>
      <c r="R53" s="550">
        <f t="shared" si="15"/>
        <v>309500</v>
      </c>
      <c r="S53" s="147">
        <v>154750</v>
      </c>
      <c r="T53" s="147"/>
      <c r="U53" s="143"/>
    </row>
    <row r="54" spans="1:21" s="153" customFormat="1">
      <c r="A54" s="149" t="s">
        <v>157</v>
      </c>
      <c r="B54" s="150">
        <f>SUM(C54:D54)</f>
        <v>9224173</v>
      </c>
      <c r="C54" s="150">
        <f t="shared" ref="C54:T54" si="17">SUM(C45:C53)</f>
        <v>9224173</v>
      </c>
      <c r="D54" s="150">
        <f t="shared" si="17"/>
        <v>0</v>
      </c>
      <c r="E54" s="150">
        <f t="shared" si="17"/>
        <v>9224173</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9224173</v>
      </c>
      <c r="S54" s="150">
        <f t="shared" si="17"/>
        <v>5257062</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50">
        <f t="shared" ref="R56:R61" si="19">SUM(E56:Q56)</f>
        <v>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80000</v>
      </c>
      <c r="C58" s="147">
        <v>80000</v>
      </c>
      <c r="D58" s="147"/>
      <c r="E58" s="147">
        <f>+C58</f>
        <v>80000</v>
      </c>
      <c r="F58" s="147"/>
      <c r="G58" s="147"/>
      <c r="H58" s="147"/>
      <c r="I58" s="147"/>
      <c r="J58" s="147"/>
      <c r="K58" s="147"/>
      <c r="L58" s="147"/>
      <c r="M58" s="147"/>
      <c r="N58" s="147"/>
      <c r="O58" s="147"/>
      <c r="P58" s="147"/>
      <c r="Q58" s="147"/>
      <c r="R58" s="550">
        <f t="shared" si="19"/>
        <v>80000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 customHeight="1">
      <c r="A62" s="149" t="s">
        <v>302</v>
      </c>
      <c r="B62" s="146">
        <f>SUM(C62:D62)</f>
        <v>80000</v>
      </c>
      <c r="C62" s="146">
        <f t="shared" ref="C62:R62" si="20">SUM(C56:C61)</f>
        <v>80000</v>
      </c>
      <c r="D62" s="146">
        <f t="shared" si="20"/>
        <v>0</v>
      </c>
      <c r="E62" s="146">
        <f t="shared" si="20"/>
        <v>80000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80000</v>
      </c>
      <c r="S62" s="148"/>
      <c r="T62" s="148"/>
      <c r="U62" s="143"/>
    </row>
    <row r="63" spans="1:21" s="144" customFormat="1">
      <c r="A63" s="154" t="s">
        <v>303</v>
      </c>
      <c r="B63" s="146">
        <f t="shared" ref="B63:R63" si="21">SUM(B8+B11+B13+B14+B15+B26+B27+B38+B42+B43+B54+B62)</f>
        <v>58344346</v>
      </c>
      <c r="C63" s="146">
        <f t="shared" si="21"/>
        <v>58344346</v>
      </c>
      <c r="D63" s="146">
        <f t="shared" si="21"/>
        <v>0</v>
      </c>
      <c r="E63" s="146">
        <f t="shared" si="21"/>
        <v>20529350</v>
      </c>
      <c r="F63" s="146">
        <f t="shared" si="21"/>
        <v>5469400</v>
      </c>
      <c r="G63" s="146">
        <f t="shared" si="21"/>
        <v>10547446</v>
      </c>
      <c r="H63" s="146">
        <f t="shared" si="21"/>
        <v>21798150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58344346</v>
      </c>
      <c r="S63" s="146">
        <f>SUM(S10+S13+S14+S15+S26+S27+S38+S42+S43+S54)</f>
        <v>51426435</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45000</v>
      </c>
      <c r="C65" s="147">
        <v>45000</v>
      </c>
      <c r="D65" s="147"/>
      <c r="E65" s="147">
        <f>+C65</f>
        <v>45000</v>
      </c>
      <c r="F65" s="147"/>
      <c r="G65" s="147"/>
      <c r="H65" s="147"/>
      <c r="I65" s="147"/>
      <c r="J65" s="147"/>
      <c r="K65" s="147"/>
      <c r="L65" s="147"/>
      <c r="M65" s="147"/>
      <c r="N65" s="147"/>
      <c r="O65" s="147"/>
      <c r="P65" s="147"/>
      <c r="Q65" s="147"/>
      <c r="R65" s="550">
        <f>SUM(E65:Q65)</f>
        <v>45000</v>
      </c>
      <c r="S65" s="147">
        <v>23403</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45000</v>
      </c>
      <c r="C70" s="146">
        <f>SUM(C65:C69)</f>
        <v>45000</v>
      </c>
      <c r="D70" s="146">
        <f>SUM(D65:D69)</f>
        <v>0</v>
      </c>
      <c r="E70" s="146">
        <f t="shared" ref="E70:T70" si="22">SUM(E65:E69)</f>
        <v>45000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45000</v>
      </c>
      <c r="S70" s="150">
        <f t="shared" si="22"/>
        <v>23403</v>
      </c>
      <c r="T70" s="150">
        <f t="shared" si="22"/>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202838</v>
      </c>
      <c r="C75" s="147">
        <v>202838</v>
      </c>
      <c r="D75" s="147"/>
      <c r="E75" s="147">
        <f>+C75</f>
        <v>202838</v>
      </c>
      <c r="F75" s="147"/>
      <c r="G75" s="147"/>
      <c r="H75" s="147"/>
      <c r="I75" s="147"/>
      <c r="J75" s="147"/>
      <c r="K75" s="147"/>
      <c r="L75" s="147"/>
      <c r="M75" s="147"/>
      <c r="N75" s="147"/>
      <c r="O75" s="147"/>
      <c r="P75" s="147"/>
      <c r="Q75" s="147"/>
      <c r="R75" s="550">
        <f>SUM(E75:Q75)</f>
        <v>202838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202838</v>
      </c>
      <c r="C77" s="146">
        <f>SUM(C72:C76)</f>
        <v>202838</v>
      </c>
      <c r="D77" s="146">
        <f>SUM(D72:D76)</f>
        <v>0</v>
      </c>
      <c r="E77" s="146">
        <f t="shared" ref="E77:Q77" si="23">SUM(E72:E76)</f>
        <v>202838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202838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2209088</v>
      </c>
      <c r="C79" s="147">
        <v>2209088</v>
      </c>
      <c r="D79" s="147"/>
      <c r="E79" s="147">
        <f t="shared" ref="E79:E80" si="24">+C79</f>
        <v>2209088</v>
      </c>
      <c r="F79" s="147"/>
      <c r="G79" s="147"/>
      <c r="H79" s="147"/>
      <c r="I79" s="147"/>
      <c r="J79" s="147"/>
      <c r="K79" s="147"/>
      <c r="L79" s="147"/>
      <c r="M79" s="147"/>
      <c r="N79" s="147"/>
      <c r="O79" s="147"/>
      <c r="P79" s="147"/>
      <c r="Q79" s="147"/>
      <c r="R79" s="550">
        <f>SUM(E79:Q79)</f>
        <v>2209088</v>
      </c>
      <c r="S79" s="147">
        <f>+R79</f>
        <v>2209088</v>
      </c>
      <c r="T79" s="147"/>
      <c r="U79" s="143"/>
    </row>
    <row r="80" spans="1:21" s="144" customFormat="1">
      <c r="A80" s="304" t="s">
        <v>58</v>
      </c>
      <c r="B80" s="146">
        <f>SUM(C80:D80)</f>
        <v>376768</v>
      </c>
      <c r="C80" s="147">
        <v>376768</v>
      </c>
      <c r="D80" s="147"/>
      <c r="E80" s="147">
        <f t="shared" si="24"/>
        <v>376768</v>
      </c>
      <c r="F80" s="147"/>
      <c r="G80" s="147"/>
      <c r="H80" s="147"/>
      <c r="I80" s="147"/>
      <c r="J80" s="147"/>
      <c r="K80" s="147"/>
      <c r="L80" s="147"/>
      <c r="M80" s="147"/>
      <c r="N80" s="147"/>
      <c r="O80" s="147"/>
      <c r="P80" s="147"/>
      <c r="Q80" s="147"/>
      <c r="R80" s="550">
        <f>SUM(E80:Q80)</f>
        <v>376768</v>
      </c>
      <c r="S80" s="147">
        <f>+R80</f>
        <v>376768</v>
      </c>
      <c r="T80" s="147"/>
      <c r="U80" s="143"/>
    </row>
    <row r="81" spans="1:21" s="144" customFormat="1">
      <c r="A81" s="149" t="s">
        <v>1316</v>
      </c>
      <c r="B81" s="146">
        <f>SUM(C81:D81)</f>
        <v>2585856</v>
      </c>
      <c r="C81" s="543">
        <f>SUM(C79:C80)</f>
        <v>2585856</v>
      </c>
      <c r="D81" s="543">
        <f t="shared" ref="D81:T81" si="25">SUM(D79:D80)</f>
        <v>0</v>
      </c>
      <c r="E81" s="543">
        <f t="shared" si="25"/>
        <v>2585856</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2585856</v>
      </c>
      <c r="S81" s="543">
        <f t="shared" si="25"/>
        <v>2585856</v>
      </c>
      <c r="T81" s="543">
        <f t="shared" si="25"/>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6">SUM(C83+D83)</f>
        <v>106433</v>
      </c>
      <c r="C83" s="147">
        <v>106433</v>
      </c>
      <c r="D83" s="147"/>
      <c r="E83" s="147">
        <f>+C83</f>
        <v>106433</v>
      </c>
      <c r="F83" s="147"/>
      <c r="G83" s="147"/>
      <c r="H83" s="147"/>
      <c r="I83" s="147"/>
      <c r="J83" s="147"/>
      <c r="K83" s="147"/>
      <c r="L83" s="147"/>
      <c r="M83" s="147"/>
      <c r="N83" s="147"/>
      <c r="O83" s="147"/>
      <c r="P83" s="147"/>
      <c r="Q83" s="147"/>
      <c r="R83" s="550">
        <f t="shared" ref="R83:R95" si="27">SUM(E83:Q83)</f>
        <v>106433</v>
      </c>
      <c r="S83" s="148"/>
      <c r="T83" s="148"/>
      <c r="U83" s="143"/>
    </row>
    <row r="84" spans="1:21" s="144" customFormat="1">
      <c r="A84" s="145" t="s">
        <v>777</v>
      </c>
      <c r="B84" s="146">
        <f t="shared" si="26"/>
        <v>0</v>
      </c>
      <c r="C84" s="147"/>
      <c r="D84" s="147"/>
      <c r="E84" s="147"/>
      <c r="F84" s="147"/>
      <c r="G84" s="147"/>
      <c r="H84" s="147"/>
      <c r="I84" s="147"/>
      <c r="J84" s="147"/>
      <c r="K84" s="147"/>
      <c r="L84" s="147"/>
      <c r="M84" s="147"/>
      <c r="N84" s="147"/>
      <c r="O84" s="147"/>
      <c r="P84" s="147"/>
      <c r="Q84" s="147"/>
      <c r="R84" s="550">
        <f t="shared" si="27"/>
        <v>0</v>
      </c>
      <c r="S84" s="147"/>
      <c r="T84" s="147"/>
      <c r="U84" s="143"/>
    </row>
    <row r="85" spans="1:21" s="144" customFormat="1">
      <c r="A85" s="145" t="s">
        <v>778</v>
      </c>
      <c r="B85" s="146">
        <f t="shared" si="26"/>
        <v>3564104</v>
      </c>
      <c r="C85" s="147">
        <v>3564104</v>
      </c>
      <c r="D85" s="147"/>
      <c r="E85" s="147">
        <v>3564104</v>
      </c>
      <c r="F85" s="147"/>
      <c r="G85" s="147"/>
      <c r="H85" s="147"/>
      <c r="I85" s="147"/>
      <c r="J85" s="147"/>
      <c r="K85" s="147"/>
      <c r="L85" s="147"/>
      <c r="M85" s="147"/>
      <c r="N85" s="147"/>
      <c r="O85" s="147"/>
      <c r="P85" s="147"/>
      <c r="Q85" s="147"/>
      <c r="R85" s="550">
        <f t="shared" si="27"/>
        <v>3564104</v>
      </c>
      <c r="S85" s="147">
        <f>+R85</f>
        <v>3564104</v>
      </c>
      <c r="T85" s="147"/>
      <c r="U85" s="143"/>
    </row>
    <row r="86" spans="1:21" s="144" customFormat="1">
      <c r="A86" s="145" t="s">
        <v>779</v>
      </c>
      <c r="B86" s="146">
        <f t="shared" si="26"/>
        <v>148724</v>
      </c>
      <c r="C86" s="147">
        <f>3712828-C85</f>
        <v>148724</v>
      </c>
      <c r="D86" s="147"/>
      <c r="E86" s="147">
        <f t="shared" ref="E86:E93" si="28">+C86</f>
        <v>148724</v>
      </c>
      <c r="F86" s="147"/>
      <c r="G86" s="147"/>
      <c r="H86" s="147"/>
      <c r="I86" s="147"/>
      <c r="J86" s="147"/>
      <c r="K86" s="147"/>
      <c r="L86" s="147"/>
      <c r="M86" s="147"/>
      <c r="N86" s="147"/>
      <c r="O86" s="147"/>
      <c r="P86" s="147"/>
      <c r="Q86" s="147"/>
      <c r="R86" s="550">
        <f t="shared" si="27"/>
        <v>148724</v>
      </c>
      <c r="S86" s="147">
        <f>+R86</f>
        <v>148724</v>
      </c>
      <c r="T86" s="147"/>
      <c r="U86" s="143"/>
    </row>
    <row r="87" spans="1:21" s="144" customFormat="1">
      <c r="A87" s="145" t="s">
        <v>780</v>
      </c>
      <c r="B87" s="146">
        <f t="shared" si="26"/>
        <v>344752</v>
      </c>
      <c r="C87" s="147">
        <v>344752</v>
      </c>
      <c r="D87" s="147"/>
      <c r="E87" s="147">
        <f t="shared" si="28"/>
        <v>344752</v>
      </c>
      <c r="F87" s="147"/>
      <c r="G87" s="147"/>
      <c r="H87" s="147"/>
      <c r="I87" s="147"/>
      <c r="J87" s="147"/>
      <c r="K87" s="147"/>
      <c r="L87" s="147"/>
      <c r="M87" s="147"/>
      <c r="N87" s="147"/>
      <c r="O87" s="147"/>
      <c r="P87" s="147"/>
      <c r="Q87" s="147"/>
      <c r="R87" s="550">
        <f t="shared" si="27"/>
        <v>344752</v>
      </c>
      <c r="S87" s="147">
        <f>+R87</f>
        <v>344752</v>
      </c>
      <c r="T87" s="147"/>
      <c r="U87" s="143"/>
    </row>
    <row r="88" spans="1:21" s="144" customFormat="1">
      <c r="A88" s="145" t="s">
        <v>781</v>
      </c>
      <c r="B88" s="146">
        <f t="shared" si="26"/>
        <v>125000</v>
      </c>
      <c r="C88" s="147">
        <v>125000</v>
      </c>
      <c r="D88" s="147"/>
      <c r="E88" s="147">
        <f t="shared" si="28"/>
        <v>125000</v>
      </c>
      <c r="F88" s="147"/>
      <c r="G88" s="147"/>
      <c r="H88" s="147"/>
      <c r="I88" s="147"/>
      <c r="J88" s="147"/>
      <c r="K88" s="147"/>
      <c r="L88" s="147"/>
      <c r="M88" s="147"/>
      <c r="N88" s="147"/>
      <c r="O88" s="147"/>
      <c r="P88" s="147"/>
      <c r="Q88" s="147"/>
      <c r="R88" s="550">
        <f t="shared" si="27"/>
        <v>125000</v>
      </c>
      <c r="S88" s="148"/>
      <c r="T88" s="148"/>
      <c r="U88" s="143"/>
    </row>
    <row r="89" spans="1:21" s="144" customFormat="1">
      <c r="A89" s="145" t="s">
        <v>782</v>
      </c>
      <c r="B89" s="146">
        <f t="shared" si="26"/>
        <v>100000</v>
      </c>
      <c r="C89" s="147">
        <v>100000</v>
      </c>
      <c r="D89" s="147"/>
      <c r="E89" s="147">
        <f t="shared" si="28"/>
        <v>100000</v>
      </c>
      <c r="F89" s="147"/>
      <c r="G89" s="147"/>
      <c r="H89" s="147"/>
      <c r="I89" s="147"/>
      <c r="J89" s="147"/>
      <c r="K89" s="147"/>
      <c r="L89" s="147"/>
      <c r="M89" s="147"/>
      <c r="N89" s="147"/>
      <c r="O89" s="147"/>
      <c r="P89" s="147"/>
      <c r="Q89" s="147"/>
      <c r="R89" s="550">
        <f t="shared" si="27"/>
        <v>100000</v>
      </c>
      <c r="S89" s="147">
        <f>+R89</f>
        <v>100000</v>
      </c>
      <c r="T89" s="147"/>
      <c r="U89" s="143"/>
    </row>
    <row r="90" spans="1:21" s="144" customFormat="1">
      <c r="A90" s="145" t="s">
        <v>783</v>
      </c>
      <c r="B90" s="146">
        <f t="shared" si="26"/>
        <v>12000</v>
      </c>
      <c r="C90" s="147">
        <v>12000</v>
      </c>
      <c r="D90" s="147"/>
      <c r="E90" s="147">
        <f t="shared" si="28"/>
        <v>12000</v>
      </c>
      <c r="F90" s="147"/>
      <c r="G90" s="147"/>
      <c r="H90" s="147"/>
      <c r="I90" s="147"/>
      <c r="J90" s="147"/>
      <c r="K90" s="147"/>
      <c r="L90" s="147"/>
      <c r="M90" s="147"/>
      <c r="N90" s="147"/>
      <c r="O90" s="147"/>
      <c r="P90" s="147"/>
      <c r="Q90" s="147"/>
      <c r="R90" s="550">
        <f t="shared" si="27"/>
        <v>12000</v>
      </c>
      <c r="S90" s="147"/>
      <c r="T90" s="147"/>
      <c r="U90" s="143"/>
    </row>
    <row r="91" spans="1:21" s="144" customFormat="1">
      <c r="A91" s="145" t="s">
        <v>373</v>
      </c>
      <c r="B91" s="146">
        <f t="shared" si="26"/>
        <v>36000</v>
      </c>
      <c r="C91" s="147">
        <f>36000</f>
        <v>36000</v>
      </c>
      <c r="D91" s="147"/>
      <c r="E91" s="147">
        <f t="shared" si="28"/>
        <v>36000</v>
      </c>
      <c r="F91" s="147"/>
      <c r="G91" s="147"/>
      <c r="H91" s="147"/>
      <c r="I91" s="147"/>
      <c r="J91" s="147"/>
      <c r="K91" s="147"/>
      <c r="L91" s="147"/>
      <c r="M91" s="147"/>
      <c r="N91" s="147"/>
      <c r="O91" s="147"/>
      <c r="P91" s="147"/>
      <c r="Q91" s="147"/>
      <c r="R91" s="550">
        <f t="shared" si="27"/>
        <v>36000</v>
      </c>
      <c r="S91" s="147">
        <v>36000</v>
      </c>
      <c r="T91" s="147"/>
      <c r="U91" s="143"/>
    </row>
    <row r="92" spans="1:21" s="144" customFormat="1">
      <c r="A92" s="304" t="s">
        <v>1318</v>
      </c>
      <c r="B92" s="146">
        <f t="shared" si="26"/>
        <v>12000</v>
      </c>
      <c r="C92" s="147">
        <v>12000</v>
      </c>
      <c r="D92" s="147"/>
      <c r="E92" s="147">
        <f t="shared" si="28"/>
        <v>12000</v>
      </c>
      <c r="F92" s="147"/>
      <c r="G92" s="147"/>
      <c r="H92" s="147"/>
      <c r="I92" s="147"/>
      <c r="J92" s="147"/>
      <c r="K92" s="147"/>
      <c r="L92" s="147"/>
      <c r="M92" s="147"/>
      <c r="N92" s="147"/>
      <c r="O92" s="147"/>
      <c r="P92" s="147"/>
      <c r="Q92" s="147"/>
      <c r="R92" s="550">
        <f t="shared" si="27"/>
        <v>12000</v>
      </c>
      <c r="S92" s="147">
        <f>+R92</f>
        <v>12000</v>
      </c>
      <c r="T92" s="147"/>
      <c r="U92" s="143"/>
    </row>
    <row r="93" spans="1:21" s="144" customFormat="1" ht="24">
      <c r="A93" s="1193" t="s">
        <v>2773</v>
      </c>
      <c r="B93" s="146">
        <f t="shared" si="26"/>
        <v>175000</v>
      </c>
      <c r="C93" s="147">
        <f>75000+100000</f>
        <v>175000</v>
      </c>
      <c r="D93" s="147"/>
      <c r="E93" s="147">
        <f t="shared" si="28"/>
        <v>175000</v>
      </c>
      <c r="F93" s="147"/>
      <c r="G93" s="147"/>
      <c r="H93" s="147"/>
      <c r="I93" s="147"/>
      <c r="J93" s="147"/>
      <c r="K93" s="147"/>
      <c r="L93" s="147"/>
      <c r="M93" s="147"/>
      <c r="N93" s="147"/>
      <c r="O93" s="147"/>
      <c r="P93" s="147"/>
      <c r="Q93" s="147"/>
      <c r="R93" s="550">
        <f t="shared" si="27"/>
        <v>175000</v>
      </c>
      <c r="S93" s="147">
        <f>+R93</f>
        <v>175000</v>
      </c>
      <c r="T93" s="147"/>
      <c r="U93" s="143"/>
    </row>
    <row r="94" spans="1:21" s="144" customFormat="1">
      <c r="A94" s="1193" t="s">
        <v>34</v>
      </c>
      <c r="B94" s="146">
        <f t="shared" si="26"/>
        <v>0</v>
      </c>
      <c r="C94" s="147"/>
      <c r="D94" s="147"/>
      <c r="E94" s="147"/>
      <c r="F94" s="147"/>
      <c r="G94" s="147"/>
      <c r="H94" s="147"/>
      <c r="I94" s="147"/>
      <c r="J94" s="147"/>
      <c r="K94" s="147"/>
      <c r="L94" s="147"/>
      <c r="M94" s="147"/>
      <c r="N94" s="147"/>
      <c r="O94" s="147"/>
      <c r="P94" s="147"/>
      <c r="Q94" s="147"/>
      <c r="R94" s="550">
        <f t="shared" si="27"/>
        <v>0</v>
      </c>
      <c r="S94" s="147"/>
      <c r="T94" s="147"/>
      <c r="U94" s="143"/>
    </row>
    <row r="95" spans="1:21" s="144" customFormat="1">
      <c r="A95" s="1193" t="s">
        <v>34</v>
      </c>
      <c r="B95" s="146">
        <f t="shared" si="26"/>
        <v>0</v>
      </c>
      <c r="C95" s="147"/>
      <c r="D95" s="147"/>
      <c r="E95" s="147"/>
      <c r="F95" s="147"/>
      <c r="G95" s="147"/>
      <c r="H95" s="147"/>
      <c r="I95" s="147"/>
      <c r="J95" s="147"/>
      <c r="K95" s="147"/>
      <c r="L95" s="147"/>
      <c r="M95" s="147"/>
      <c r="N95" s="147"/>
      <c r="O95" s="147"/>
      <c r="P95" s="147"/>
      <c r="Q95" s="147"/>
      <c r="R95" s="550">
        <f t="shared" si="27"/>
        <v>0</v>
      </c>
      <c r="S95" s="147"/>
      <c r="T95" s="147"/>
      <c r="U95" s="143"/>
    </row>
    <row r="96" spans="1:21" s="144" customFormat="1">
      <c r="A96" s="149" t="s">
        <v>784</v>
      </c>
      <c r="B96" s="146">
        <f>SUM(C96:D96)</f>
        <v>4624013</v>
      </c>
      <c r="C96" s="146">
        <f t="shared" ref="C96:R96" si="29">SUM(C83:C95)</f>
        <v>4624013</v>
      </c>
      <c r="D96" s="146">
        <f t="shared" si="29"/>
        <v>0</v>
      </c>
      <c r="E96" s="146">
        <f t="shared" si="29"/>
        <v>4624013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4624013</v>
      </c>
      <c r="S96" s="150">
        <f>SUM(S84:S87,S89:S95)</f>
        <v>4380580</v>
      </c>
      <c r="T96" s="146">
        <f>SUM(T84:T87,T89:T95)</f>
        <v>0</v>
      </c>
      <c r="U96" s="143"/>
    </row>
    <row r="97" spans="1:21" s="144" customFormat="1">
      <c r="A97" s="149" t="s">
        <v>785</v>
      </c>
      <c r="B97" s="146">
        <f>SUM(C97:D97)</f>
        <v>65802053</v>
      </c>
      <c r="C97" s="146">
        <f t="shared" ref="C97:R97" si="30">SUM(C63+C70+C77+C81+C96)</f>
        <v>65802053</v>
      </c>
      <c r="D97" s="146">
        <f t="shared" si="30"/>
        <v>0</v>
      </c>
      <c r="E97" s="146">
        <f t="shared" si="30"/>
        <v>27987057</v>
      </c>
      <c r="F97" s="146">
        <f t="shared" si="30"/>
        <v>5469400</v>
      </c>
      <c r="G97" s="146">
        <f t="shared" si="30"/>
        <v>10547446</v>
      </c>
      <c r="H97" s="146">
        <f t="shared" si="30"/>
        <v>21798150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65802053</v>
      </c>
      <c r="S97" s="146">
        <f>SUM(S63+S70+S81+S96)</f>
        <v>58416274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8762441</v>
      </c>
      <c r="C99" s="1014">
        <v>8762441</v>
      </c>
      <c r="D99" s="1014"/>
      <c r="E99" s="1014">
        <f>+C99-I99</f>
        <v>3587480</v>
      </c>
      <c r="F99" s="147"/>
      <c r="G99" s="147"/>
      <c r="H99" s="147"/>
      <c r="I99" s="147">
        <v>5174961</v>
      </c>
      <c r="J99" s="147"/>
      <c r="K99" s="147"/>
      <c r="L99" s="147"/>
      <c r="M99" s="147"/>
      <c r="N99" s="147"/>
      <c r="O99" s="147"/>
      <c r="P99" s="147"/>
      <c r="Q99" s="147"/>
      <c r="R99" s="550">
        <f>SUM(E99:Q99)</f>
        <v>8762441</v>
      </c>
      <c r="S99" s="147">
        <f>+R99</f>
        <v>8762441</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8762441</v>
      </c>
      <c r="C104" s="146">
        <f>SUM(C99:C103)</f>
        <v>8762441</v>
      </c>
      <c r="D104" s="146">
        <f t="shared" ref="D104:T104" si="31">SUM(D99:D103)</f>
        <v>0</v>
      </c>
      <c r="E104" s="146">
        <f t="shared" si="31"/>
        <v>3587480</v>
      </c>
      <c r="F104" s="146">
        <f t="shared" si="31"/>
        <v>0</v>
      </c>
      <c r="G104" s="146">
        <f t="shared" si="31"/>
        <v>0</v>
      </c>
      <c r="H104" s="146">
        <f t="shared" si="31"/>
        <v>0</v>
      </c>
      <c r="I104" s="146">
        <f t="shared" si="31"/>
        <v>5174961</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8762441</v>
      </c>
      <c r="S104" s="150">
        <f t="shared" si="31"/>
        <v>8762441</v>
      </c>
      <c r="T104" s="150">
        <f t="shared" si="31"/>
        <v>0</v>
      </c>
      <c r="U104" s="143"/>
    </row>
    <row r="105" spans="1:21" s="144" customFormat="1">
      <c r="A105" s="149" t="s">
        <v>790</v>
      </c>
      <c r="B105" s="150">
        <f>SUM(C105:D105)</f>
        <v>74564494</v>
      </c>
      <c r="C105" s="150">
        <f t="shared" ref="C105:R105" si="32">SUM(C97+C104)</f>
        <v>74564494</v>
      </c>
      <c r="D105" s="150">
        <f t="shared" si="32"/>
        <v>0</v>
      </c>
      <c r="E105" s="150">
        <f t="shared" si="32"/>
        <v>31574537</v>
      </c>
      <c r="F105" s="150">
        <f t="shared" si="32"/>
        <v>5469400</v>
      </c>
      <c r="G105" s="150">
        <f t="shared" si="32"/>
        <v>10547446</v>
      </c>
      <c r="H105" s="150">
        <f t="shared" si="32"/>
        <v>21798150</v>
      </c>
      <c r="I105" s="150">
        <f t="shared" si="32"/>
        <v>5174961</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0">
        <f t="shared" si="32"/>
        <v>74564494</v>
      </c>
      <c r="S105" s="150">
        <f>S97+S104</f>
        <v>67178715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67178715</v>
      </c>
      <c r="T107" s="150">
        <f>T105+T106</f>
        <v>0</v>
      </c>
    </row>
    <row r="108" spans="1:21" s="201" customFormat="1">
      <c r="A108" s="162" t="s">
        <v>892</v>
      </c>
      <c r="B108" s="157"/>
      <c r="C108" s="157"/>
      <c r="D108" s="157"/>
      <c r="E108" s="323">
        <f>Application!AO640</f>
        <v>31574537</v>
      </c>
      <c r="F108" s="323">
        <f>Application!AO627</f>
        <v>5469400</v>
      </c>
      <c r="G108" s="323">
        <f>Application!AO628</f>
        <v>10547446</v>
      </c>
      <c r="H108" s="323">
        <f>Application!AO629</f>
        <v>21798150</v>
      </c>
      <c r="I108" s="323">
        <f>Application!AO630</f>
        <v>5174961</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4" t="s">
        <v>1015</v>
      </c>
      <c r="E122" s="1884"/>
      <c r="F122" s="188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551"/>
      <c r="F123" s="1551"/>
      <c r="G123" s="1551"/>
      <c r="H123" s="1551"/>
      <c r="I123" s="1551"/>
      <c r="J123" s="1551"/>
      <c r="K123" s="1551"/>
      <c r="L123" s="1551"/>
      <c r="M123" s="1551"/>
      <c r="N123" s="1551"/>
      <c r="O123" s="1551"/>
      <c r="P123" s="1551"/>
      <c r="Q123" s="1551"/>
      <c r="R123" s="1551"/>
      <c r="S123" s="1551"/>
      <c r="T123" s="352"/>
      <c r="U123" s="354"/>
    </row>
    <row r="124" spans="1:21" ht="12.75">
      <c r="A124" s="117" t="s">
        <v>1017</v>
      </c>
      <c r="B124" s="361"/>
      <c r="C124" s="117"/>
      <c r="D124" s="1551"/>
      <c r="E124" s="1551"/>
      <c r="F124" s="1551"/>
      <c r="G124" s="1551"/>
      <c r="H124" s="1551"/>
      <c r="I124" s="1551"/>
      <c r="J124" s="1551"/>
      <c r="K124" s="1551"/>
      <c r="L124" s="1551"/>
      <c r="M124" s="1551"/>
      <c r="N124" s="1551"/>
      <c r="O124" s="1551"/>
      <c r="P124" s="1551"/>
      <c r="Q124" s="1551"/>
      <c r="R124" s="1551"/>
      <c r="S124" s="1551"/>
      <c r="T124" s="352"/>
      <c r="U124" s="354"/>
    </row>
    <row r="125" spans="1:21" ht="12.75">
      <c r="A125" s="117" t="s">
        <v>1018</v>
      </c>
      <c r="B125" s="361"/>
      <c r="C125" s="117"/>
      <c r="D125" s="1551"/>
      <c r="E125" s="1551"/>
      <c r="F125" s="1551"/>
      <c r="G125" s="1551"/>
      <c r="H125" s="1551"/>
      <c r="I125" s="1551"/>
      <c r="J125" s="1551"/>
      <c r="K125" s="1551"/>
      <c r="L125" s="1551"/>
      <c r="M125" s="1551"/>
      <c r="N125" s="1551"/>
      <c r="O125" s="1551"/>
      <c r="P125" s="1551"/>
      <c r="Q125" s="1551"/>
      <c r="R125" s="1551"/>
      <c r="S125" s="1551"/>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75">
      <c r="A129" s="117" t="s">
        <v>301</v>
      </c>
      <c r="B129" s="361"/>
      <c r="C129" s="117"/>
      <c r="D129" s="1883" t="s">
        <v>1022</v>
      </c>
      <c r="E129" s="1883"/>
      <c r="F129" s="1883"/>
      <c r="G129" s="1883"/>
      <c r="H129" s="188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13" sqref="A1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1335</v>
      </c>
      <c r="B1" s="1888"/>
      <c r="C1" s="1888"/>
      <c r="D1" s="1888"/>
      <c r="E1" s="1888"/>
      <c r="F1" s="1888"/>
      <c r="G1" s="1888"/>
      <c r="H1" s="1888"/>
      <c r="I1" s="1888"/>
      <c r="J1" s="188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2500000</v>
      </c>
      <c r="C4" s="393">
        <f>+B4</f>
        <v>2500000</v>
      </c>
      <c r="D4" s="393"/>
      <c r="E4" s="394"/>
      <c r="F4" s="394"/>
      <c r="G4" s="394"/>
      <c r="H4" s="394"/>
      <c r="I4" s="394"/>
      <c r="J4" s="394"/>
      <c r="K4" s="390"/>
    </row>
    <row r="5" spans="1:11" s="391" customFormat="1">
      <c r="A5" s="395" t="s">
        <v>28</v>
      </c>
      <c r="B5" s="392">
        <f>'Sources and Uses Budget'!C5</f>
        <v>0</v>
      </c>
      <c r="C5" s="393">
        <f t="shared" ref="C5:C7" si="0">+B5</f>
        <v>0</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602</v>
      </c>
      <c r="B8" s="392">
        <f>'Sources and Uses Budget'!C8</f>
        <v>2500000</v>
      </c>
      <c r="C8" s="392">
        <f>SUM(C4:C7)</f>
        <v>2500000</v>
      </c>
      <c r="D8" s="392">
        <f>SUM(D4:D7)</f>
        <v>0</v>
      </c>
      <c r="E8" s="394"/>
      <c r="F8" s="394"/>
      <c r="G8" s="394"/>
      <c r="H8" s="394"/>
      <c r="I8" s="394"/>
      <c r="J8" s="394"/>
      <c r="K8" s="390"/>
    </row>
    <row r="9" spans="1:11" s="391" customFormat="1">
      <c r="A9" s="395" t="s">
        <v>603</v>
      </c>
      <c r="B9" s="392">
        <f>'Sources and Uses Budget'!C9</f>
        <v>0</v>
      </c>
      <c r="C9" s="393">
        <f t="shared" ref="C9:C10" si="1">+B9</f>
        <v>0</v>
      </c>
      <c r="D9" s="393"/>
      <c r="E9" s="394"/>
      <c r="F9" s="394"/>
      <c r="G9" s="394"/>
      <c r="H9" s="392">
        <f>'Sources and Uses Budget'!T9</f>
        <v>0</v>
      </c>
      <c r="I9" s="393"/>
      <c r="J9" s="393"/>
      <c r="K9" s="390"/>
    </row>
    <row r="10" spans="1:11" s="391" customFormat="1">
      <c r="A10" s="395" t="s">
        <v>604</v>
      </c>
      <c r="B10" s="392">
        <f>'Sources and Uses Budget'!C10</f>
        <v>0</v>
      </c>
      <c r="C10" s="393">
        <f t="shared" si="1"/>
        <v>0</v>
      </c>
      <c r="D10" s="393"/>
      <c r="E10" s="392">
        <f>'Sources and Uses Budget'!S10</f>
        <v>0</v>
      </c>
      <c r="F10" s="393">
        <f t="shared" ref="F10" si="2">E10</f>
        <v>0</v>
      </c>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2500000</v>
      </c>
      <c r="C12" s="392">
        <f>SUM(C8+C11)</f>
        <v>2500000</v>
      </c>
      <c r="D12" s="392">
        <f>SUM(D8+D11)</f>
        <v>0</v>
      </c>
      <c r="E12" s="394"/>
      <c r="F12" s="394"/>
      <c r="G12" s="394"/>
      <c r="H12" s="394"/>
      <c r="I12" s="394"/>
      <c r="J12" s="394"/>
      <c r="K12" s="390"/>
    </row>
    <row r="13" spans="1:11" s="391" customFormat="1">
      <c r="A13" s="397" t="s">
        <v>918</v>
      </c>
      <c r="B13" s="392">
        <f>'Sources and Uses Budget'!C13</f>
        <v>964300</v>
      </c>
      <c r="C13" s="393">
        <f t="shared" ref="C13:C15" si="3">+B13</f>
        <v>964300</v>
      </c>
      <c r="D13" s="393"/>
      <c r="E13" s="392">
        <f>'Sources and Uses Budget'!S13</f>
        <v>593500</v>
      </c>
      <c r="F13" s="393">
        <f t="shared" ref="F13:F14" si="4">E13</f>
        <v>593500</v>
      </c>
      <c r="G13" s="393"/>
      <c r="H13" s="392">
        <f>'Sources and Uses Budget'!T13</f>
        <v>0</v>
      </c>
      <c r="I13" s="393"/>
      <c r="J13" s="393"/>
      <c r="K13" s="390"/>
    </row>
    <row r="14" spans="1:11" s="391" customFormat="1" ht="24">
      <c r="A14" s="395" t="s">
        <v>919</v>
      </c>
      <c r="B14" s="392">
        <f>'Sources and Uses Budget'!C14</f>
        <v>0</v>
      </c>
      <c r="C14" s="393">
        <f t="shared" si="3"/>
        <v>0</v>
      </c>
      <c r="D14" s="393"/>
      <c r="E14" s="392">
        <f>'Sources and Uses Budget'!S14</f>
        <v>0</v>
      </c>
      <c r="F14" s="393">
        <f t="shared" si="4"/>
        <v>0</v>
      </c>
      <c r="G14" s="393"/>
      <c r="H14" s="392">
        <f>'Sources and Uses Budget'!T14</f>
        <v>0</v>
      </c>
      <c r="I14" s="393"/>
      <c r="J14" s="393"/>
      <c r="K14" s="390"/>
    </row>
    <row r="15" spans="1:11" s="391" customFormat="1">
      <c r="A15" s="395" t="s">
        <v>1267</v>
      </c>
      <c r="B15" s="392">
        <f>'Sources and Uses Budget'!C15</f>
        <v>0</v>
      </c>
      <c r="C15" s="393">
        <f t="shared" si="3"/>
        <v>0</v>
      </c>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5469400</v>
      </c>
      <c r="C29" s="393">
        <f t="shared" ref="C29:C37" si="5">+B29</f>
        <v>5469400</v>
      </c>
      <c r="D29" s="393"/>
      <c r="E29" s="392">
        <f>'Sources and Uses Budget'!S29</f>
        <v>5469400</v>
      </c>
      <c r="F29" s="393">
        <f t="shared" ref="F29:F37" si="6">E29</f>
        <v>5469400</v>
      </c>
      <c r="G29" s="393"/>
      <c r="H29" s="392">
        <f>'Sources and Uses Budget'!T29</f>
        <v>0</v>
      </c>
      <c r="I29" s="393"/>
      <c r="J29" s="393"/>
      <c r="K29" s="390"/>
    </row>
    <row r="30" spans="1:11" s="391" customFormat="1">
      <c r="A30" s="145" t="s">
        <v>608</v>
      </c>
      <c r="B30" s="392">
        <f>'Sources and Uses Budget'!C30</f>
        <v>26590179</v>
      </c>
      <c r="C30" s="393">
        <f t="shared" si="5"/>
        <v>26590179</v>
      </c>
      <c r="D30" s="393"/>
      <c r="E30" s="392">
        <f>'Sources and Uses Budget'!S30</f>
        <v>26590179</v>
      </c>
      <c r="F30" s="393">
        <f t="shared" si="6"/>
        <v>26590179</v>
      </c>
      <c r="G30" s="393"/>
      <c r="H30" s="392">
        <f>'Sources and Uses Budget'!T30</f>
        <v>0</v>
      </c>
      <c r="I30" s="393"/>
      <c r="J30" s="393"/>
      <c r="K30" s="390"/>
    </row>
    <row r="31" spans="1:11" s="391" customFormat="1">
      <c r="A31" s="145" t="s">
        <v>609</v>
      </c>
      <c r="B31" s="392">
        <f>'Sources and Uses Budget'!C31</f>
        <v>1109520</v>
      </c>
      <c r="C31" s="393">
        <f t="shared" si="5"/>
        <v>1109520</v>
      </c>
      <c r="D31" s="393"/>
      <c r="E31" s="392">
        <f>'Sources and Uses Budget'!S31</f>
        <v>1109520</v>
      </c>
      <c r="F31" s="393">
        <f t="shared" si="6"/>
        <v>1109520</v>
      </c>
      <c r="G31" s="393"/>
      <c r="H31" s="392">
        <f>'Sources and Uses Budget'!T31</f>
        <v>0</v>
      </c>
      <c r="I31" s="393"/>
      <c r="J31" s="393"/>
      <c r="K31" s="390"/>
    </row>
    <row r="32" spans="1:11" s="391" customFormat="1">
      <c r="A32" s="145" t="s">
        <v>137</v>
      </c>
      <c r="B32" s="392">
        <f>'Sources and Uses Budget'!C32</f>
        <v>2034120</v>
      </c>
      <c r="C32" s="393">
        <f t="shared" si="5"/>
        <v>2034120</v>
      </c>
      <c r="D32" s="393"/>
      <c r="E32" s="392">
        <f>'Sources and Uses Budget'!S32</f>
        <v>2034120</v>
      </c>
      <c r="F32" s="393">
        <f t="shared" si="6"/>
        <v>2034120</v>
      </c>
      <c r="G32" s="393"/>
      <c r="H32" s="392">
        <f>'Sources and Uses Budget'!T32</f>
        <v>0</v>
      </c>
      <c r="I32" s="393"/>
      <c r="J32" s="393"/>
      <c r="K32" s="390"/>
    </row>
    <row r="33" spans="1:11" s="391" customFormat="1">
      <c r="A33" s="145" t="s">
        <v>138</v>
      </c>
      <c r="B33" s="392">
        <f>'Sources and Uses Budget'!C33</f>
        <v>2034120</v>
      </c>
      <c r="C33" s="393">
        <f t="shared" si="5"/>
        <v>2034120</v>
      </c>
      <c r="D33" s="393"/>
      <c r="E33" s="392">
        <f>'Sources and Uses Budget'!S33</f>
        <v>2034120</v>
      </c>
      <c r="F33" s="393">
        <f t="shared" si="6"/>
        <v>2034120</v>
      </c>
      <c r="G33" s="393"/>
      <c r="H33" s="392">
        <f>'Sources and Uses Budget'!T33</f>
        <v>0</v>
      </c>
      <c r="I33" s="393"/>
      <c r="J33" s="393"/>
      <c r="K33" s="390"/>
    </row>
    <row r="34" spans="1:11" s="391" customFormat="1">
      <c r="A34" s="145" t="s">
        <v>139</v>
      </c>
      <c r="B34" s="392">
        <f>'Sources and Uses Budget'!C34</f>
        <v>6164000</v>
      </c>
      <c r="C34" s="393">
        <f t="shared" si="5"/>
        <v>6164000</v>
      </c>
      <c r="D34" s="393"/>
      <c r="E34" s="392">
        <f>'Sources and Uses Budget'!S34</f>
        <v>6164000</v>
      </c>
      <c r="F34" s="393">
        <f t="shared" si="6"/>
        <v>6164000</v>
      </c>
      <c r="G34" s="393"/>
      <c r="H34" s="392">
        <f>'Sources and Uses Budget'!T34</f>
        <v>0</v>
      </c>
      <c r="I34" s="393"/>
      <c r="J34" s="393"/>
      <c r="K34" s="390"/>
    </row>
    <row r="35" spans="1:11" s="391" customFormat="1">
      <c r="A35" s="145" t="s">
        <v>140</v>
      </c>
      <c r="B35" s="392">
        <f>'Sources and Uses Budget'!C35</f>
        <v>820000</v>
      </c>
      <c r="C35" s="393">
        <f t="shared" si="5"/>
        <v>820000</v>
      </c>
      <c r="D35" s="393"/>
      <c r="E35" s="392">
        <f>'Sources and Uses Budget'!S35</f>
        <v>820000</v>
      </c>
      <c r="F35" s="393">
        <f t="shared" si="6"/>
        <v>820000</v>
      </c>
      <c r="G35" s="393"/>
      <c r="H35" s="392">
        <f>'Sources and Uses Budget'!T35</f>
        <v>0</v>
      </c>
      <c r="I35" s="393"/>
      <c r="J35" s="393"/>
      <c r="K35" s="390"/>
    </row>
    <row r="36" spans="1:11" s="391" customFormat="1">
      <c r="A36" s="542" t="s">
        <v>1754</v>
      </c>
      <c r="B36" s="392">
        <f>'Sources and Uses Budget'!C36</f>
        <v>0</v>
      </c>
      <c r="C36" s="393">
        <f t="shared" si="5"/>
        <v>0</v>
      </c>
      <c r="D36" s="393"/>
      <c r="E36" s="392">
        <f>'Sources and Uses Budget'!S36</f>
        <v>0</v>
      </c>
      <c r="F36" s="393">
        <f t="shared" si="6"/>
        <v>0</v>
      </c>
      <c r="G36" s="393"/>
      <c r="H36" s="392">
        <f>'Sources and Uses Budget'!T36</f>
        <v>0</v>
      </c>
      <c r="I36" s="393"/>
      <c r="J36" s="393"/>
      <c r="K36" s="390"/>
    </row>
    <row r="37" spans="1:11" s="391" customFormat="1">
      <c r="A37" s="395" t="str">
        <f>'Sources and Uses Budget'!$A37</f>
        <v>Other: Prevailing Wage Monitor</v>
      </c>
      <c r="B37" s="392">
        <f>'Sources and Uses Budget'!C37</f>
        <v>127184</v>
      </c>
      <c r="C37" s="393">
        <f t="shared" si="5"/>
        <v>127184</v>
      </c>
      <c r="D37" s="393"/>
      <c r="E37" s="392">
        <f>'Sources and Uses Budget'!S37</f>
        <v>127184</v>
      </c>
      <c r="F37" s="393">
        <f t="shared" si="6"/>
        <v>127184</v>
      </c>
      <c r="G37" s="393"/>
      <c r="H37" s="392">
        <f>'Sources and Uses Budget'!T37</f>
        <v>0</v>
      </c>
      <c r="I37" s="393"/>
      <c r="J37" s="393"/>
      <c r="K37" s="390"/>
    </row>
    <row r="38" spans="1:11" s="391" customFormat="1">
      <c r="A38" s="396" t="s">
        <v>143</v>
      </c>
      <c r="B38" s="392">
        <f>'Sources and Uses Budget'!C38</f>
        <v>44348523</v>
      </c>
      <c r="C38" s="392">
        <f>SUM(C29:C37)</f>
        <v>44348523</v>
      </c>
      <c r="D38" s="392">
        <f>SUM(D29:D37)</f>
        <v>0</v>
      </c>
      <c r="E38" s="392">
        <f>'Sources and Uses Budget'!S38</f>
        <v>44348523</v>
      </c>
      <c r="F38" s="398">
        <f>SUM(F29:F37)</f>
        <v>44348523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931150</v>
      </c>
      <c r="C40" s="393">
        <f t="shared" ref="C40:C41" si="7">+B40</f>
        <v>931150</v>
      </c>
      <c r="D40" s="393"/>
      <c r="E40" s="392">
        <f>'Sources and Uses Budget'!S40</f>
        <v>931150</v>
      </c>
      <c r="F40" s="393">
        <f t="shared" ref="F40:F41" si="8">E40</f>
        <v>931150</v>
      </c>
      <c r="G40" s="393"/>
      <c r="H40" s="392">
        <f>'Sources and Uses Budget'!T40</f>
        <v>0</v>
      </c>
      <c r="I40" s="393"/>
      <c r="J40" s="393"/>
      <c r="K40" s="390"/>
    </row>
    <row r="41" spans="1:11" s="391" customFormat="1">
      <c r="A41" s="395" t="s">
        <v>146</v>
      </c>
      <c r="B41" s="392">
        <f>'Sources and Uses Budget'!C41</f>
        <v>296200</v>
      </c>
      <c r="C41" s="393">
        <f t="shared" si="7"/>
        <v>296200</v>
      </c>
      <c r="D41" s="393"/>
      <c r="E41" s="392">
        <f>'Sources and Uses Budget'!S41</f>
        <v>296200</v>
      </c>
      <c r="F41" s="393">
        <f t="shared" si="8"/>
        <v>296200</v>
      </c>
      <c r="G41" s="393"/>
      <c r="H41" s="392">
        <f>'Sources and Uses Budget'!T41</f>
        <v>0</v>
      </c>
      <c r="I41" s="393"/>
      <c r="J41" s="393"/>
      <c r="K41" s="390"/>
    </row>
    <row r="42" spans="1:11" s="391" customFormat="1">
      <c r="A42" s="396" t="s">
        <v>147</v>
      </c>
      <c r="B42" s="392">
        <f>'Sources and Uses Budget'!C42</f>
        <v>1227350</v>
      </c>
      <c r="C42" s="392">
        <f>SUM(C39:C41)</f>
        <v>1227350</v>
      </c>
      <c r="D42" s="392">
        <f>SUM(D39:D41)</f>
        <v>0</v>
      </c>
      <c r="E42" s="392">
        <f>'Sources and Uses Budget'!S42</f>
        <v>1227350</v>
      </c>
      <c r="F42" s="398">
        <f>SUM(F40:F41)</f>
        <v>1227350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7102543</v>
      </c>
      <c r="C45" s="393">
        <f t="shared" ref="C45:C53" si="9">+B45</f>
        <v>7102543</v>
      </c>
      <c r="D45" s="393"/>
      <c r="E45" s="392">
        <f>'Sources and Uses Budget'!S45</f>
        <v>3693856</v>
      </c>
      <c r="F45" s="393">
        <f t="shared" ref="F45:F53" si="10">E45</f>
        <v>3693856</v>
      </c>
      <c r="G45" s="393"/>
      <c r="H45" s="392">
        <f>'Sources and Uses Budget'!T45</f>
        <v>0</v>
      </c>
      <c r="I45" s="393"/>
      <c r="J45" s="393"/>
      <c r="K45" s="390"/>
    </row>
    <row r="46" spans="1:11" s="391" customFormat="1">
      <c r="A46" s="395" t="s">
        <v>151</v>
      </c>
      <c r="B46" s="392">
        <f>'Sources and Uses Budget'!C46</f>
        <v>546264</v>
      </c>
      <c r="C46" s="393">
        <f t="shared" si="9"/>
        <v>546264</v>
      </c>
      <c r="D46" s="393"/>
      <c r="E46" s="392">
        <f>'Sources and Uses Budget'!S46</f>
        <v>284098</v>
      </c>
      <c r="F46" s="393">
        <f t="shared" si="10"/>
        <v>284098</v>
      </c>
      <c r="G46" s="393"/>
      <c r="H46" s="392">
        <f>'Sources and Uses Budget'!T46</f>
        <v>0</v>
      </c>
      <c r="I46" s="393"/>
      <c r="J46" s="393"/>
      <c r="K46" s="390"/>
    </row>
    <row r="47" spans="1:11" s="391" customFormat="1" ht="12" customHeight="1">
      <c r="A47" s="395" t="s">
        <v>152</v>
      </c>
      <c r="B47" s="392">
        <f>'Sources and Uses Budget'!C47</f>
        <v>0</v>
      </c>
      <c r="C47" s="393">
        <f t="shared" si="9"/>
        <v>0</v>
      </c>
      <c r="D47" s="393"/>
      <c r="E47" s="392">
        <f>'Sources and Uses Budget'!S47</f>
        <v>0</v>
      </c>
      <c r="F47" s="393">
        <f t="shared" si="10"/>
        <v>0</v>
      </c>
      <c r="G47" s="393"/>
      <c r="H47" s="392">
        <f>'Sources and Uses Budget'!T47</f>
        <v>0</v>
      </c>
      <c r="I47" s="393"/>
      <c r="J47" s="393"/>
      <c r="K47" s="390"/>
    </row>
    <row r="48" spans="1:11" s="391" customFormat="1">
      <c r="A48" s="395" t="s">
        <v>153</v>
      </c>
      <c r="B48" s="392">
        <f>'Sources and Uses Budget'!C48</f>
        <v>0</v>
      </c>
      <c r="C48" s="393">
        <f t="shared" si="9"/>
        <v>0</v>
      </c>
      <c r="D48" s="393"/>
      <c r="E48" s="392">
        <f>'Sources and Uses Budget'!S48</f>
        <v>0</v>
      </c>
      <c r="F48" s="393">
        <f t="shared" si="10"/>
        <v>0</v>
      </c>
      <c r="G48" s="393"/>
      <c r="H48" s="392">
        <f>'Sources and Uses Budget'!T48</f>
        <v>0</v>
      </c>
      <c r="I48" s="393"/>
      <c r="J48" s="393"/>
      <c r="K48" s="390"/>
    </row>
    <row r="49" spans="1:11" s="391" customFormat="1">
      <c r="A49" s="304" t="s">
        <v>57</v>
      </c>
      <c r="B49" s="392">
        <f>'Sources and Uses Budget'!C49</f>
        <v>203366</v>
      </c>
      <c r="C49" s="393">
        <f t="shared" si="9"/>
        <v>203366</v>
      </c>
      <c r="D49" s="393"/>
      <c r="E49" s="392">
        <f>'Sources and Uses Budget'!S49</f>
        <v>61858</v>
      </c>
      <c r="F49" s="393">
        <f t="shared" si="10"/>
        <v>61858</v>
      </c>
      <c r="G49" s="393"/>
      <c r="H49" s="392">
        <f>'Sources and Uses Budget'!T49</f>
        <v>0</v>
      </c>
      <c r="I49" s="393"/>
      <c r="J49" s="393"/>
      <c r="K49" s="390"/>
    </row>
    <row r="50" spans="1:11" s="391" customFormat="1">
      <c r="A50" s="395" t="s">
        <v>156</v>
      </c>
      <c r="B50" s="392">
        <f>'Sources and Uses Budget'!C50</f>
        <v>100000</v>
      </c>
      <c r="C50" s="393">
        <f t="shared" si="9"/>
        <v>100000</v>
      </c>
      <c r="D50" s="393"/>
      <c r="E50" s="392">
        <f>'Sources and Uses Budget'!S50</f>
        <v>100000</v>
      </c>
      <c r="F50" s="393">
        <f t="shared" si="10"/>
        <v>100000</v>
      </c>
      <c r="G50" s="393"/>
      <c r="H50" s="392">
        <f>'Sources and Uses Budget'!T50</f>
        <v>0</v>
      </c>
      <c r="I50" s="393"/>
      <c r="J50" s="393"/>
      <c r="K50" s="390"/>
    </row>
    <row r="51" spans="1:11" s="391" customFormat="1">
      <c r="A51" s="395" t="s">
        <v>154</v>
      </c>
      <c r="B51" s="392">
        <f>'Sources and Uses Budget'!C51</f>
        <v>67500</v>
      </c>
      <c r="C51" s="393">
        <f t="shared" si="9"/>
        <v>67500</v>
      </c>
      <c r="D51" s="393"/>
      <c r="E51" s="392">
        <f>'Sources and Uses Budget'!S51</f>
        <v>67500</v>
      </c>
      <c r="F51" s="393">
        <f t="shared" si="10"/>
        <v>67500</v>
      </c>
      <c r="G51" s="393"/>
      <c r="H51" s="392">
        <f>'Sources and Uses Budget'!T51</f>
        <v>0</v>
      </c>
      <c r="I51" s="393"/>
      <c r="J51" s="393"/>
      <c r="K51" s="390"/>
    </row>
    <row r="52" spans="1:11" s="391" customFormat="1">
      <c r="A52" s="395" t="s">
        <v>155</v>
      </c>
      <c r="B52" s="392">
        <f>'Sources and Uses Budget'!C52</f>
        <v>895000</v>
      </c>
      <c r="C52" s="393">
        <f t="shared" si="9"/>
        <v>895000</v>
      </c>
      <c r="D52" s="393"/>
      <c r="E52" s="392">
        <f>'Sources and Uses Budget'!S52</f>
        <v>895000</v>
      </c>
      <c r="F52" s="393">
        <f t="shared" si="10"/>
        <v>895000</v>
      </c>
      <c r="G52" s="393"/>
      <c r="H52" s="392">
        <f>'Sources and Uses Budget'!T52</f>
        <v>0</v>
      </c>
      <c r="I52" s="393"/>
      <c r="J52" s="393"/>
      <c r="K52" s="390"/>
    </row>
    <row r="53" spans="1:11" s="391" customFormat="1">
      <c r="A53" s="395" t="str">
        <f>'Sources and Uses Budget'!$A53</f>
        <v xml:space="preserve">Other: Legal Closing </v>
      </c>
      <c r="B53" s="392">
        <f>'Sources and Uses Budget'!C53</f>
        <v>309500</v>
      </c>
      <c r="C53" s="393">
        <f t="shared" si="9"/>
        <v>309500</v>
      </c>
      <c r="D53" s="393"/>
      <c r="E53" s="392">
        <f>'Sources and Uses Budget'!S53</f>
        <v>154750</v>
      </c>
      <c r="F53" s="393">
        <f t="shared" si="10"/>
        <v>154750</v>
      </c>
      <c r="G53" s="393"/>
      <c r="H53" s="392">
        <f>'Sources and Uses Budget'!T53</f>
        <v>0</v>
      </c>
      <c r="I53" s="393"/>
      <c r="J53" s="393"/>
      <c r="K53" s="390"/>
    </row>
    <row r="54" spans="1:11" s="400" customFormat="1">
      <c r="A54" s="396" t="s">
        <v>157</v>
      </c>
      <c r="B54" s="392">
        <f>'Sources and Uses Budget'!C54</f>
        <v>9224173</v>
      </c>
      <c r="C54" s="398">
        <f>SUM(C45:C53)</f>
        <v>9224173</v>
      </c>
      <c r="D54" s="398">
        <f>SUM(D45:D53)</f>
        <v>0</v>
      </c>
      <c r="E54" s="392">
        <f>'Sources and Uses Budget'!S54</f>
        <v>5257062</v>
      </c>
      <c r="F54" s="398">
        <f>SUM(F45:F53)</f>
        <v>5257062</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f t="shared" ref="C56:C61" si="11">+B56</f>
        <v>0</v>
      </c>
      <c r="D56" s="393"/>
      <c r="E56" s="394"/>
      <c r="F56" s="394"/>
      <c r="G56" s="394"/>
      <c r="H56" s="394"/>
      <c r="I56" s="394"/>
      <c r="J56" s="394"/>
      <c r="K56" s="390"/>
    </row>
    <row r="57" spans="1:11" s="391" customFormat="1" ht="12" customHeight="1">
      <c r="A57" s="395" t="s">
        <v>152</v>
      </c>
      <c r="B57" s="392">
        <f>'Sources and Uses Budget'!C57</f>
        <v>0</v>
      </c>
      <c r="C57" s="393">
        <f t="shared" si="11"/>
        <v>0</v>
      </c>
      <c r="D57" s="393"/>
      <c r="E57" s="394"/>
      <c r="F57" s="394"/>
      <c r="G57" s="394"/>
      <c r="H57" s="394"/>
      <c r="I57" s="394"/>
      <c r="J57" s="394"/>
      <c r="K57" s="390"/>
    </row>
    <row r="58" spans="1:11" s="391" customFormat="1">
      <c r="A58" s="395" t="s">
        <v>156</v>
      </c>
      <c r="B58" s="392">
        <f>'Sources and Uses Budget'!C58</f>
        <v>80000</v>
      </c>
      <c r="C58" s="393">
        <f t="shared" si="11"/>
        <v>80000</v>
      </c>
      <c r="D58" s="393"/>
      <c r="E58" s="394"/>
      <c r="F58" s="394"/>
      <c r="G58" s="394"/>
      <c r="H58" s="394"/>
      <c r="I58" s="394"/>
      <c r="J58" s="394"/>
      <c r="K58" s="390"/>
    </row>
    <row r="59" spans="1:11" s="391" customFormat="1">
      <c r="A59" s="395" t="s">
        <v>154</v>
      </c>
      <c r="B59" s="392">
        <f>'Sources and Uses Budget'!C59</f>
        <v>0</v>
      </c>
      <c r="C59" s="393">
        <f t="shared" si="11"/>
        <v>0</v>
      </c>
      <c r="D59" s="393"/>
      <c r="E59" s="394"/>
      <c r="F59" s="394"/>
      <c r="G59" s="394"/>
      <c r="H59" s="394"/>
      <c r="I59" s="394"/>
      <c r="J59" s="394"/>
      <c r="K59" s="390"/>
    </row>
    <row r="60" spans="1:11" s="391" customFormat="1">
      <c r="A60" s="395" t="s">
        <v>155</v>
      </c>
      <c r="B60" s="392">
        <f>'Sources and Uses Budget'!C60</f>
        <v>0</v>
      </c>
      <c r="C60" s="393">
        <f t="shared" si="11"/>
        <v>0</v>
      </c>
      <c r="D60" s="393"/>
      <c r="E60" s="394"/>
      <c r="F60" s="394"/>
      <c r="G60" s="394"/>
      <c r="H60" s="394"/>
      <c r="I60" s="394"/>
      <c r="J60" s="394"/>
      <c r="K60" s="390"/>
    </row>
    <row r="61" spans="1:11" s="391" customFormat="1">
      <c r="A61" s="395" t="str">
        <f>'Sources and Uses Budget'!$A61</f>
        <v>Other: (Specify)</v>
      </c>
      <c r="B61" s="392">
        <f>'Sources and Uses Budget'!C61</f>
        <v>0</v>
      </c>
      <c r="C61" s="393">
        <f t="shared" si="11"/>
        <v>0</v>
      </c>
      <c r="D61" s="393"/>
      <c r="E61" s="394"/>
      <c r="F61" s="394"/>
      <c r="G61" s="394"/>
      <c r="H61" s="394"/>
      <c r="I61" s="394"/>
      <c r="J61" s="394"/>
      <c r="K61" s="390"/>
    </row>
    <row r="62" spans="1:11" s="391" customFormat="1" ht="13.7" customHeight="1">
      <c r="A62" s="396" t="s">
        <v>302</v>
      </c>
      <c r="B62" s="392">
        <f>'Sources and Uses Budget'!C62</f>
        <v>80000</v>
      </c>
      <c r="C62" s="392">
        <f>SUM(C56:C61)</f>
        <v>80000</v>
      </c>
      <c r="D62" s="392">
        <f>SUM(D56:D61)</f>
        <v>0</v>
      </c>
      <c r="E62" s="394"/>
      <c r="F62" s="394"/>
      <c r="G62" s="394"/>
      <c r="H62" s="394"/>
      <c r="I62" s="394"/>
      <c r="J62" s="394"/>
      <c r="K62" s="390"/>
    </row>
    <row r="63" spans="1:11" s="391" customFormat="1">
      <c r="A63" s="401" t="s">
        <v>303</v>
      </c>
      <c r="B63" s="392">
        <f>'Sources and Uses Budget'!C63</f>
        <v>58344346</v>
      </c>
      <c r="C63" s="392">
        <f>SUM(C8+C11+C13+C14+C15+C26+C27+C38+C42+C43+C54+C62)</f>
        <v>58344346</v>
      </c>
      <c r="D63" s="392">
        <f>SUM(D8+D11+D13+D14+D15+D26+D27+D38+D42+D43+D54+D62)</f>
        <v>0</v>
      </c>
      <c r="E63" s="392">
        <f>'Sources and Uses Budget'!S63</f>
        <v>51426435</v>
      </c>
      <c r="F63" s="392">
        <f>SUM(F10+F13+F14+F15+F26+F27+F38+F42+F43+F54)</f>
        <v>51426435</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45000</v>
      </c>
      <c r="C65" s="393">
        <f t="shared" ref="C65:C69" si="12">+B65</f>
        <v>45000</v>
      </c>
      <c r="D65" s="393"/>
      <c r="E65" s="392">
        <f>'Sources and Uses Budget'!S65</f>
        <v>23403</v>
      </c>
      <c r="F65" s="393">
        <f t="shared" ref="F65:F69" si="13">E65</f>
        <v>23403</v>
      </c>
      <c r="G65" s="393"/>
      <c r="H65" s="392">
        <f>'Sources and Uses Budget'!T65</f>
        <v>0</v>
      </c>
      <c r="I65" s="393"/>
      <c r="J65" s="393"/>
      <c r="K65" s="390"/>
    </row>
    <row r="66" spans="1:11" s="391" customFormat="1" ht="24">
      <c r="A66" s="304" t="s">
        <v>1755</v>
      </c>
      <c r="B66" s="392">
        <f>'Sources and Uses Budget'!C66</f>
        <v>0</v>
      </c>
      <c r="C66" s="393">
        <f t="shared" si="12"/>
        <v>0</v>
      </c>
      <c r="D66" s="393"/>
      <c r="E66" s="392">
        <f>'Sources and Uses Budget'!S66</f>
        <v>0</v>
      </c>
      <c r="F66" s="393">
        <f t="shared" si="13"/>
        <v>0</v>
      </c>
      <c r="G66" s="393"/>
      <c r="H66" s="392">
        <f>'Sources and Uses Budget'!T66</f>
        <v>0</v>
      </c>
      <c r="I66" s="393"/>
      <c r="J66" s="393"/>
      <c r="K66" s="390"/>
    </row>
    <row r="67" spans="1:11" s="391" customFormat="1" ht="24">
      <c r="A67" s="304" t="s">
        <v>1756</v>
      </c>
      <c r="B67" s="392">
        <f>'Sources and Uses Budget'!C67</f>
        <v>0</v>
      </c>
      <c r="C67" s="393">
        <f t="shared" si="12"/>
        <v>0</v>
      </c>
      <c r="D67" s="393"/>
      <c r="E67" s="392">
        <f>'Sources and Uses Budget'!S67</f>
        <v>0</v>
      </c>
      <c r="F67" s="393">
        <f t="shared" si="13"/>
        <v>0</v>
      </c>
      <c r="G67" s="393"/>
      <c r="H67" s="392">
        <f>'Sources and Uses Budget'!T67</f>
        <v>0</v>
      </c>
      <c r="I67" s="393"/>
      <c r="J67" s="393"/>
      <c r="K67" s="390"/>
    </row>
    <row r="68" spans="1:11" s="391" customFormat="1">
      <c r="A68" s="304" t="s">
        <v>1762</v>
      </c>
      <c r="B68" s="392">
        <f>'Sources and Uses Budget'!C68</f>
        <v>0</v>
      </c>
      <c r="C68" s="393">
        <f t="shared" si="12"/>
        <v>0</v>
      </c>
      <c r="D68" s="393"/>
      <c r="E68" s="392">
        <f>'Sources and Uses Budget'!S68</f>
        <v>0</v>
      </c>
      <c r="F68" s="393">
        <f t="shared" si="13"/>
        <v>0</v>
      </c>
      <c r="G68" s="393"/>
      <c r="H68" s="392">
        <f>'Sources and Uses Budget'!T68</f>
        <v>0</v>
      </c>
      <c r="I68" s="393"/>
      <c r="J68" s="393"/>
      <c r="K68" s="390"/>
    </row>
    <row r="69" spans="1:11" s="391" customFormat="1">
      <c r="A69" s="395" t="str">
        <f>'Sources and Uses Budget'!$A69</f>
        <v>Other: (Specify)</v>
      </c>
      <c r="B69" s="392">
        <f>'Sources and Uses Budget'!C69</f>
        <v>0</v>
      </c>
      <c r="C69" s="393">
        <f t="shared" si="12"/>
        <v>0</v>
      </c>
      <c r="D69" s="393"/>
      <c r="E69" s="392">
        <f>'Sources and Uses Budget'!S69</f>
        <v>0</v>
      </c>
      <c r="F69" s="393">
        <f t="shared" si="13"/>
        <v>0</v>
      </c>
      <c r="G69" s="393"/>
      <c r="H69" s="392">
        <f>'Sources and Uses Budget'!T69</f>
        <v>0</v>
      </c>
      <c r="I69" s="393"/>
      <c r="J69" s="393"/>
      <c r="K69" s="390"/>
    </row>
    <row r="70" spans="1:11" s="391" customFormat="1">
      <c r="A70" s="396" t="s">
        <v>610</v>
      </c>
      <c r="B70" s="392">
        <f>'Sources and Uses Budget'!C70</f>
        <v>45000</v>
      </c>
      <c r="C70" s="392">
        <f>SUM(C64:C69)</f>
        <v>45000</v>
      </c>
      <c r="D70" s="392">
        <f>SUM(D64:D69)</f>
        <v>0</v>
      </c>
      <c r="E70" s="392">
        <f>'Sources and Uses Budget'!S70</f>
        <v>23403</v>
      </c>
      <c r="F70" s="398">
        <f>SUM(F65:F69)</f>
        <v>23403</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f t="shared" ref="C72:C76" si="14">+B72</f>
        <v>0</v>
      </c>
      <c r="D72" s="393"/>
      <c r="E72" s="394"/>
      <c r="F72" s="394"/>
      <c r="G72" s="394"/>
      <c r="H72" s="394"/>
      <c r="I72" s="394"/>
      <c r="J72" s="394"/>
      <c r="K72" s="390"/>
    </row>
    <row r="73" spans="1:11" s="391" customFormat="1">
      <c r="A73" s="395" t="s">
        <v>613</v>
      </c>
      <c r="B73" s="392">
        <f>'Sources and Uses Budget'!C73</f>
        <v>0</v>
      </c>
      <c r="C73" s="393">
        <f t="shared" si="14"/>
        <v>0</v>
      </c>
      <c r="D73" s="393"/>
      <c r="E73" s="394"/>
      <c r="F73" s="394"/>
      <c r="G73" s="394"/>
      <c r="H73" s="394"/>
      <c r="I73" s="394"/>
      <c r="J73" s="394"/>
      <c r="K73" s="390"/>
    </row>
    <row r="74" spans="1:11" s="391" customFormat="1">
      <c r="A74" s="397" t="s">
        <v>1008</v>
      </c>
      <c r="B74" s="392">
        <f>'Sources and Uses Budget'!C74</f>
        <v>0</v>
      </c>
      <c r="C74" s="393">
        <f t="shared" si="14"/>
        <v>0</v>
      </c>
      <c r="D74" s="393"/>
      <c r="E74" s="394"/>
      <c r="F74" s="394"/>
      <c r="G74" s="394"/>
      <c r="H74" s="394"/>
      <c r="I74" s="394"/>
      <c r="J74" s="394"/>
      <c r="K74" s="390"/>
    </row>
    <row r="75" spans="1:11" s="391" customFormat="1">
      <c r="A75" s="395" t="s">
        <v>614</v>
      </c>
      <c r="B75" s="392">
        <f>'Sources and Uses Budget'!C75</f>
        <v>202838</v>
      </c>
      <c r="C75" s="393">
        <f t="shared" si="14"/>
        <v>202838</v>
      </c>
      <c r="D75" s="393"/>
      <c r="E75" s="394"/>
      <c r="F75" s="394"/>
      <c r="G75" s="394"/>
      <c r="H75" s="394"/>
      <c r="I75" s="394"/>
      <c r="J75" s="394"/>
      <c r="K75" s="390"/>
    </row>
    <row r="76" spans="1:11" s="391" customFormat="1">
      <c r="A76" s="395" t="str">
        <f>'Sources and Uses Budget'!$A76</f>
        <v>Other: (Specify)</v>
      </c>
      <c r="B76" s="392">
        <f>'Sources and Uses Budget'!C76</f>
        <v>0</v>
      </c>
      <c r="C76" s="393">
        <f t="shared" si="14"/>
        <v>0</v>
      </c>
      <c r="D76" s="393"/>
      <c r="E76" s="394"/>
      <c r="F76" s="394"/>
      <c r="G76" s="394"/>
      <c r="H76" s="394"/>
      <c r="I76" s="394"/>
      <c r="J76" s="394"/>
      <c r="K76" s="390"/>
    </row>
    <row r="77" spans="1:11" s="391" customFormat="1">
      <c r="A77" s="396" t="s">
        <v>615</v>
      </c>
      <c r="B77" s="392">
        <f>'Sources and Uses Budget'!C77</f>
        <v>202838</v>
      </c>
      <c r="C77" s="392">
        <f>SUM(C72:C76)</f>
        <v>202838</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2209088</v>
      </c>
      <c r="C79" s="393">
        <f t="shared" ref="C79:C80" si="15">+B79</f>
        <v>2209088</v>
      </c>
      <c r="D79" s="393"/>
      <c r="E79" s="392">
        <f>'Sources and Uses Budget'!S79</f>
        <v>2209088</v>
      </c>
      <c r="F79" s="393">
        <f t="shared" ref="F79:F80" si="16">E79</f>
        <v>2209088</v>
      </c>
      <c r="G79" s="393"/>
      <c r="H79" s="392">
        <f>'Sources and Uses Budget'!T79</f>
        <v>0</v>
      </c>
      <c r="I79" s="393"/>
      <c r="J79" s="393"/>
      <c r="K79" s="390"/>
    </row>
    <row r="80" spans="1:11" s="391" customFormat="1">
      <c r="A80" s="395" t="s">
        <v>58</v>
      </c>
      <c r="B80" s="392">
        <f>'Sources and Uses Budget'!C80</f>
        <v>376768</v>
      </c>
      <c r="C80" s="393">
        <f t="shared" si="15"/>
        <v>376768</v>
      </c>
      <c r="D80" s="393"/>
      <c r="E80" s="392">
        <f>'Sources and Uses Budget'!S80</f>
        <v>376768</v>
      </c>
      <c r="F80" s="393">
        <f t="shared" si="16"/>
        <v>376768</v>
      </c>
      <c r="G80" s="393"/>
      <c r="H80" s="392">
        <f>'Sources and Uses Budget'!T80</f>
        <v>0</v>
      </c>
      <c r="I80" s="393"/>
      <c r="J80" s="393"/>
      <c r="K80" s="390"/>
    </row>
    <row r="81" spans="1:11" s="391" customFormat="1">
      <c r="A81" s="396" t="s">
        <v>1316</v>
      </c>
      <c r="B81" s="392">
        <f>'Sources and Uses Budget'!C81</f>
        <v>2585856</v>
      </c>
      <c r="C81" s="392">
        <f>SUM(C79:C80)</f>
        <v>2585856</v>
      </c>
      <c r="D81" s="392">
        <f>SUM(D79:D80)</f>
        <v>0</v>
      </c>
      <c r="E81" s="392">
        <f>'Sources and Uses Budget'!S81</f>
        <v>2585856</v>
      </c>
      <c r="F81" s="392">
        <f>SUM(F79:F80)</f>
        <v>2585856</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106433</v>
      </c>
      <c r="C83" s="393">
        <f t="shared" ref="C83:C95" si="17">+B83</f>
        <v>106433</v>
      </c>
      <c r="D83" s="393"/>
      <c r="E83" s="394"/>
      <c r="F83" s="394"/>
      <c r="G83" s="394"/>
      <c r="H83" s="394"/>
      <c r="I83" s="394"/>
      <c r="J83" s="394"/>
      <c r="K83" s="390"/>
    </row>
    <row r="84" spans="1:11" s="391" customFormat="1">
      <c r="A84" s="145" t="s">
        <v>777</v>
      </c>
      <c r="B84" s="392">
        <f>'Sources and Uses Budget'!C84</f>
        <v>0</v>
      </c>
      <c r="C84" s="393">
        <f t="shared" si="17"/>
        <v>0</v>
      </c>
      <c r="D84" s="393"/>
      <c r="E84" s="392">
        <f>'Sources and Uses Budget'!S84</f>
        <v>0</v>
      </c>
      <c r="F84" s="393">
        <f t="shared" ref="F84:F87" si="18">E84</f>
        <v>0</v>
      </c>
      <c r="G84" s="393"/>
      <c r="H84" s="392">
        <f>'Sources and Uses Budget'!T84</f>
        <v>0</v>
      </c>
      <c r="I84" s="393"/>
      <c r="J84" s="393"/>
      <c r="K84" s="390"/>
    </row>
    <row r="85" spans="1:11" s="391" customFormat="1">
      <c r="A85" s="145" t="s">
        <v>778</v>
      </c>
      <c r="B85" s="392">
        <f>'Sources and Uses Budget'!C85</f>
        <v>3564104</v>
      </c>
      <c r="C85" s="393">
        <f t="shared" si="17"/>
        <v>3564104</v>
      </c>
      <c r="D85" s="393"/>
      <c r="E85" s="392">
        <f>'Sources and Uses Budget'!S85</f>
        <v>3564104</v>
      </c>
      <c r="F85" s="393">
        <f t="shared" si="18"/>
        <v>3564104</v>
      </c>
      <c r="G85" s="393"/>
      <c r="H85" s="392">
        <f>'Sources and Uses Budget'!T85</f>
        <v>0</v>
      </c>
      <c r="I85" s="393"/>
      <c r="J85" s="393"/>
      <c r="K85" s="390"/>
    </row>
    <row r="86" spans="1:11" s="391" customFormat="1">
      <c r="A86" s="145" t="s">
        <v>779</v>
      </c>
      <c r="B86" s="392">
        <f>'Sources and Uses Budget'!C86</f>
        <v>148724</v>
      </c>
      <c r="C86" s="393">
        <f t="shared" si="17"/>
        <v>148724</v>
      </c>
      <c r="D86" s="393"/>
      <c r="E86" s="392">
        <f>'Sources and Uses Budget'!S86</f>
        <v>148724</v>
      </c>
      <c r="F86" s="393">
        <f t="shared" si="18"/>
        <v>148724</v>
      </c>
      <c r="G86" s="393"/>
      <c r="H86" s="392">
        <f>'Sources and Uses Budget'!T86</f>
        <v>0</v>
      </c>
      <c r="I86" s="393"/>
      <c r="J86" s="393"/>
      <c r="K86" s="390"/>
    </row>
    <row r="87" spans="1:11" s="391" customFormat="1">
      <c r="A87" s="145" t="s">
        <v>780</v>
      </c>
      <c r="B87" s="392">
        <f>'Sources and Uses Budget'!C87</f>
        <v>344752</v>
      </c>
      <c r="C87" s="393">
        <f t="shared" si="17"/>
        <v>344752</v>
      </c>
      <c r="D87" s="393"/>
      <c r="E87" s="392">
        <f>'Sources and Uses Budget'!S87</f>
        <v>344752</v>
      </c>
      <c r="F87" s="393">
        <f t="shared" si="18"/>
        <v>344752</v>
      </c>
      <c r="G87" s="393"/>
      <c r="H87" s="392">
        <f>'Sources and Uses Budget'!T87</f>
        <v>0</v>
      </c>
      <c r="I87" s="393"/>
      <c r="J87" s="393"/>
      <c r="K87" s="390"/>
    </row>
    <row r="88" spans="1:11" s="391" customFormat="1">
      <c r="A88" s="145" t="s">
        <v>781</v>
      </c>
      <c r="B88" s="392">
        <f>'Sources and Uses Budget'!C88</f>
        <v>125000</v>
      </c>
      <c r="C88" s="393">
        <f t="shared" si="17"/>
        <v>125000</v>
      </c>
      <c r="D88" s="393"/>
      <c r="E88" s="394"/>
      <c r="F88" s="394"/>
      <c r="G88" s="394"/>
      <c r="H88" s="394"/>
      <c r="I88" s="394"/>
      <c r="J88" s="394"/>
      <c r="K88" s="390"/>
    </row>
    <row r="89" spans="1:11" s="391" customFormat="1">
      <c r="A89" s="145" t="s">
        <v>782</v>
      </c>
      <c r="B89" s="392">
        <f>'Sources and Uses Budget'!C89</f>
        <v>100000</v>
      </c>
      <c r="C89" s="393">
        <f t="shared" si="17"/>
        <v>100000</v>
      </c>
      <c r="D89" s="393"/>
      <c r="E89" s="392">
        <f>'Sources and Uses Budget'!S89</f>
        <v>100000</v>
      </c>
      <c r="F89" s="393">
        <f t="shared" ref="F89:F95" si="19">E89</f>
        <v>100000</v>
      </c>
      <c r="G89" s="393"/>
      <c r="H89" s="392">
        <f>'Sources and Uses Budget'!T89</f>
        <v>0</v>
      </c>
      <c r="I89" s="393"/>
      <c r="J89" s="393"/>
      <c r="K89" s="390"/>
    </row>
    <row r="90" spans="1:11" s="391" customFormat="1">
      <c r="A90" s="145" t="s">
        <v>783</v>
      </c>
      <c r="B90" s="392">
        <f>'Sources and Uses Budget'!C90</f>
        <v>12000</v>
      </c>
      <c r="C90" s="393">
        <f t="shared" si="17"/>
        <v>12000</v>
      </c>
      <c r="D90" s="393"/>
      <c r="E90" s="392">
        <f>'Sources and Uses Budget'!S90</f>
        <v>0</v>
      </c>
      <c r="F90" s="393">
        <f t="shared" si="19"/>
        <v>0</v>
      </c>
      <c r="G90" s="393"/>
      <c r="H90" s="392">
        <f>'Sources and Uses Budget'!T90</f>
        <v>0</v>
      </c>
      <c r="I90" s="393"/>
      <c r="J90" s="393"/>
      <c r="K90" s="390"/>
    </row>
    <row r="91" spans="1:11" s="391" customFormat="1">
      <c r="A91" s="155" t="s">
        <v>373</v>
      </c>
      <c r="B91" s="392">
        <f>'Sources and Uses Budget'!C91</f>
        <v>36000</v>
      </c>
      <c r="C91" s="393">
        <f t="shared" si="17"/>
        <v>36000</v>
      </c>
      <c r="D91" s="393"/>
      <c r="E91" s="392">
        <f>'Sources and Uses Budget'!S91</f>
        <v>36000</v>
      </c>
      <c r="F91" s="393">
        <f t="shared" si="19"/>
        <v>36000</v>
      </c>
      <c r="G91" s="393"/>
      <c r="H91" s="392">
        <f>'Sources and Uses Budget'!T91</f>
        <v>0</v>
      </c>
      <c r="I91" s="393"/>
      <c r="J91" s="393"/>
      <c r="K91" s="390"/>
    </row>
    <row r="92" spans="1:11" s="391" customFormat="1">
      <c r="A92" s="542" t="s">
        <v>1318</v>
      </c>
      <c r="B92" s="392">
        <f>'Sources and Uses Budget'!C92</f>
        <v>12000</v>
      </c>
      <c r="C92" s="393">
        <f t="shared" si="17"/>
        <v>12000</v>
      </c>
      <c r="D92" s="393"/>
      <c r="E92" s="392">
        <f>'Sources and Uses Budget'!S92</f>
        <v>12000</v>
      </c>
      <c r="F92" s="393">
        <f t="shared" si="19"/>
        <v>12000</v>
      </c>
      <c r="G92" s="393"/>
      <c r="H92" s="392">
        <f>'Sources and Uses Budget'!T92</f>
        <v>0</v>
      </c>
      <c r="I92" s="393"/>
      <c r="J92" s="393"/>
      <c r="K92" s="390"/>
    </row>
    <row r="93" spans="1:11" s="391" customFormat="1" ht="24">
      <c r="A93" s="395" t="str">
        <f>'Sources and Uses Budget'!$A93</f>
        <v>Other: Special Inspection/Testing/Third Party Reports</v>
      </c>
      <c r="B93" s="392">
        <f>'Sources and Uses Budget'!C93</f>
        <v>175000</v>
      </c>
      <c r="C93" s="393">
        <f t="shared" si="17"/>
        <v>175000</v>
      </c>
      <c r="D93" s="393"/>
      <c r="E93" s="392">
        <f>'Sources and Uses Budget'!S93</f>
        <v>175000</v>
      </c>
      <c r="F93" s="393">
        <f t="shared" si="19"/>
        <v>175000</v>
      </c>
      <c r="G93" s="393"/>
      <c r="H93" s="392">
        <f>'Sources and Uses Budget'!T93</f>
        <v>0</v>
      </c>
      <c r="I93" s="393"/>
      <c r="J93" s="393"/>
      <c r="K93" s="390"/>
    </row>
    <row r="94" spans="1:11" s="391" customFormat="1">
      <c r="A94" s="395" t="str">
        <f>'Sources and Uses Budget'!$A94</f>
        <v>Other: (Specify)</v>
      </c>
      <c r="B94" s="392">
        <f>'Sources and Uses Budget'!C94</f>
        <v>0</v>
      </c>
      <c r="C94" s="393">
        <f t="shared" si="17"/>
        <v>0</v>
      </c>
      <c r="D94" s="393"/>
      <c r="E94" s="392">
        <f>'Sources and Uses Budget'!S94</f>
        <v>0</v>
      </c>
      <c r="F94" s="393">
        <f t="shared" si="19"/>
        <v>0</v>
      </c>
      <c r="G94" s="393"/>
      <c r="H94" s="392">
        <f>'Sources and Uses Budget'!T94</f>
        <v>0</v>
      </c>
      <c r="I94" s="393"/>
      <c r="J94" s="393"/>
      <c r="K94" s="390"/>
    </row>
    <row r="95" spans="1:11" s="391" customFormat="1">
      <c r="A95" s="395" t="str">
        <f>'Sources and Uses Budget'!$A95</f>
        <v>Other: (Specify)</v>
      </c>
      <c r="B95" s="392">
        <f>'Sources and Uses Budget'!C95</f>
        <v>0</v>
      </c>
      <c r="C95" s="393">
        <f t="shared" si="17"/>
        <v>0</v>
      </c>
      <c r="D95" s="393"/>
      <c r="E95" s="392">
        <f>'Sources and Uses Budget'!S95</f>
        <v>0</v>
      </c>
      <c r="F95" s="393">
        <f t="shared" si="19"/>
        <v>0</v>
      </c>
      <c r="G95" s="393"/>
      <c r="H95" s="392">
        <f>'Sources and Uses Budget'!T95</f>
        <v>0</v>
      </c>
      <c r="I95" s="393"/>
      <c r="J95" s="393"/>
      <c r="K95" s="390"/>
    </row>
    <row r="96" spans="1:11" s="391" customFormat="1">
      <c r="A96" s="396" t="s">
        <v>784</v>
      </c>
      <c r="B96" s="392">
        <f>'Sources and Uses Budget'!C96</f>
        <v>4624013</v>
      </c>
      <c r="C96" s="392">
        <f>SUM(C83:C95)</f>
        <v>4624013</v>
      </c>
      <c r="D96" s="392">
        <f>SUM(D83:D95)</f>
        <v>0</v>
      </c>
      <c r="E96" s="392">
        <f>'Sources and Uses Budget'!S96</f>
        <v>4380580</v>
      </c>
      <c r="F96" s="398">
        <f>SUM(F84:F87,F89:F95)</f>
        <v>4380580</v>
      </c>
      <c r="G96" s="398">
        <f>SUM(G84:G87,G89:G95)</f>
        <v>0</v>
      </c>
      <c r="H96" s="392">
        <f>'Sources and Uses Budget'!T96</f>
        <v>0</v>
      </c>
      <c r="I96" s="392">
        <f>SUM(I84:I87,I89:I95)</f>
        <v>0</v>
      </c>
      <c r="J96" s="392">
        <f>SUM(J84:J87,J89:J95)</f>
        <v>0</v>
      </c>
      <c r="K96" s="390"/>
    </row>
    <row r="97" spans="1:11" s="391" customFormat="1">
      <c r="A97" s="396" t="s">
        <v>1054</v>
      </c>
      <c r="B97" s="392">
        <f>'Sources and Uses Budget'!C97</f>
        <v>65802053</v>
      </c>
      <c r="C97" s="392">
        <f>SUM(C63+C70+C77+C81+C96)</f>
        <v>65802053</v>
      </c>
      <c r="D97" s="392">
        <f>SUM(D63+D70+D77+D81+D96)</f>
        <v>0</v>
      </c>
      <c r="E97" s="392">
        <f>'Sources and Uses Budget'!S97</f>
        <v>58416274</v>
      </c>
      <c r="F97" s="398">
        <f>SUM(+F63+F70+F81+F96)</f>
        <v>58416274</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8762441</v>
      </c>
      <c r="C99" s="393">
        <f t="shared" ref="C99:C103" si="20">+B99</f>
        <v>8762441</v>
      </c>
      <c r="D99" s="393"/>
      <c r="E99" s="392">
        <f>'Sources and Uses Budget'!S99</f>
        <v>8762441</v>
      </c>
      <c r="F99" s="393">
        <f t="shared" ref="F99:F103" si="21">E99</f>
        <v>8762441</v>
      </c>
      <c r="G99" s="393"/>
      <c r="H99" s="392">
        <f>'Sources and Uses Budget'!T99</f>
        <v>0</v>
      </c>
      <c r="I99" s="393"/>
      <c r="J99" s="393"/>
      <c r="K99" s="390"/>
    </row>
    <row r="100" spans="1:11" s="391" customFormat="1">
      <c r="A100" s="304" t="s">
        <v>1760</v>
      </c>
      <c r="B100" s="392">
        <f>'Sources and Uses Budget'!C100</f>
        <v>0</v>
      </c>
      <c r="C100" s="393">
        <f t="shared" si="20"/>
        <v>0</v>
      </c>
      <c r="D100" s="393"/>
      <c r="E100" s="392">
        <f>'Sources and Uses Budget'!S100</f>
        <v>0</v>
      </c>
      <c r="F100" s="393">
        <f t="shared" si="21"/>
        <v>0</v>
      </c>
      <c r="G100" s="393"/>
      <c r="H100" s="392">
        <f>'Sources and Uses Budget'!T100</f>
        <v>0</v>
      </c>
      <c r="I100" s="393"/>
      <c r="J100" s="393"/>
      <c r="K100" s="390"/>
    </row>
    <row r="101" spans="1:11" s="391" customFormat="1">
      <c r="A101" s="145" t="s">
        <v>788</v>
      </c>
      <c r="B101" s="392">
        <f>'Sources and Uses Budget'!C101</f>
        <v>0</v>
      </c>
      <c r="C101" s="393">
        <f t="shared" si="20"/>
        <v>0</v>
      </c>
      <c r="D101" s="393"/>
      <c r="E101" s="392">
        <f>'Sources and Uses Budget'!S101</f>
        <v>0</v>
      </c>
      <c r="F101" s="393">
        <f t="shared" si="21"/>
        <v>0</v>
      </c>
      <c r="G101" s="393"/>
      <c r="H101" s="392">
        <f>'Sources and Uses Budget'!T101</f>
        <v>0</v>
      </c>
      <c r="I101" s="393"/>
      <c r="J101" s="393"/>
      <c r="K101" s="390"/>
    </row>
    <row r="102" spans="1:11" s="391" customFormat="1" ht="12" customHeight="1">
      <c r="A102" s="304" t="s">
        <v>1761</v>
      </c>
      <c r="B102" s="392">
        <f>'Sources and Uses Budget'!C102</f>
        <v>0</v>
      </c>
      <c r="C102" s="393">
        <f t="shared" si="20"/>
        <v>0</v>
      </c>
      <c r="D102" s="393"/>
      <c r="E102" s="392">
        <f>'Sources and Uses Budget'!S102</f>
        <v>0</v>
      </c>
      <c r="F102" s="393">
        <f t="shared" si="21"/>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20"/>
        <v>0</v>
      </c>
      <c r="D103" s="393"/>
      <c r="E103" s="392">
        <f>'Sources and Uses Budget'!S103</f>
        <v>0</v>
      </c>
      <c r="F103" s="393">
        <f t="shared" si="21"/>
        <v>0</v>
      </c>
      <c r="G103" s="393"/>
      <c r="H103" s="392">
        <f>'Sources and Uses Budget'!T103</f>
        <v>0</v>
      </c>
      <c r="I103" s="393"/>
      <c r="J103" s="393"/>
      <c r="K103" s="390"/>
    </row>
    <row r="104" spans="1:11" s="391" customFormat="1">
      <c r="A104" s="396" t="s">
        <v>789</v>
      </c>
      <c r="B104" s="392">
        <f>'Sources and Uses Budget'!C104</f>
        <v>8762441</v>
      </c>
      <c r="C104" s="392">
        <f>SUM(C99:C103)</f>
        <v>8762441</v>
      </c>
      <c r="D104" s="392">
        <f>SUM(D99:D103)</f>
        <v>0</v>
      </c>
      <c r="E104" s="392">
        <f>'Sources and Uses Budget'!S104</f>
        <v>8762441</v>
      </c>
      <c r="F104" s="398">
        <f>SUM(F99:F103)</f>
        <v>8762441</v>
      </c>
      <c r="G104" s="398">
        <f>SUM(G99:G103)</f>
        <v>0</v>
      </c>
      <c r="H104" s="392">
        <f>'Sources and Uses Budget'!T104</f>
        <v>0</v>
      </c>
      <c r="I104" s="398">
        <f>SUM(I99:I103)</f>
        <v>0</v>
      </c>
      <c r="J104" s="398">
        <f>SUM(J99:J103)</f>
        <v>0</v>
      </c>
      <c r="K104" s="390"/>
    </row>
    <row r="105" spans="1:11" s="391" customFormat="1">
      <c r="A105" s="396" t="s">
        <v>1055</v>
      </c>
      <c r="B105" s="392">
        <f>'Sources and Uses Budget'!C105</f>
        <v>74564494</v>
      </c>
      <c r="C105" s="398">
        <f>SUM(C97+C104)</f>
        <v>74564494</v>
      </c>
      <c r="D105" s="398">
        <f>SUM(D97+D104)</f>
        <v>0</v>
      </c>
      <c r="E105" s="392">
        <f>'Sources and Uses Budget'!S105</f>
        <v>67178715</v>
      </c>
      <c r="F105" s="398">
        <f>F97+F104</f>
        <v>67178715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67178715</v>
      </c>
      <c r="F107" s="398">
        <f>F105+F106</f>
        <v>67178715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1" workbookViewId="0">
      <selection activeCell="AJ701" sqref="AJ70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8" t="s">
        <v>1412</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1417</v>
      </c>
      <c r="AF7" s="1930"/>
      <c r="AG7" s="1930"/>
      <c r="AH7" s="1930"/>
      <c r="AI7" s="1930"/>
      <c r="AJ7" s="1930"/>
      <c r="AK7" s="193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600</v>
      </c>
      <c r="C13" s="211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600</v>
      </c>
      <c r="C16" s="2112"/>
      <c r="D16" s="581"/>
      <c r="E16" s="2104" t="s">
        <v>1419</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1420</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600</v>
      </c>
      <c r="C22" s="2112"/>
      <c r="D22" s="581"/>
      <c r="E22" s="2122" t="s">
        <v>1422</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1420</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600</v>
      </c>
      <c r="C25" s="2112"/>
      <c r="D25" s="581"/>
      <c r="E25" s="2040" t="s">
        <v>2349</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1420</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2" t="s">
        <v>600</v>
      </c>
      <c r="C30" s="2112"/>
      <c r="D30" s="581"/>
      <c r="E30" s="2122" t="s">
        <v>2321</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600</v>
      </c>
      <c r="C33" s="2112"/>
      <c r="D33" s="581"/>
      <c r="E33" s="2040" t="s">
        <v>2322</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600</v>
      </c>
      <c r="C39" s="2112"/>
      <c r="D39" s="1186"/>
      <c r="E39" s="2040" t="s">
        <v>2323</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600</v>
      </c>
      <c r="C46" s="2112"/>
      <c r="D46" s="574"/>
      <c r="E46" s="2040" t="s">
        <v>2328</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600</v>
      </c>
      <c r="C50" s="2112"/>
      <c r="D50" s="574"/>
      <c r="E50" s="2138" t="s">
        <v>2329</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600</v>
      </c>
      <c r="C52" s="2112"/>
      <c r="D52" s="574"/>
      <c r="E52" s="2040" t="s">
        <v>2330</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1426</v>
      </c>
      <c r="AF59" s="1930"/>
      <c r="AG59" s="1930"/>
      <c r="AH59" s="1930"/>
      <c r="AI59" s="1930"/>
      <c r="AJ59" s="1930"/>
      <c r="AK59" s="193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554</v>
      </c>
      <c r="C62" s="2112"/>
      <c r="D62" s="581" t="s">
        <v>1427</v>
      </c>
      <c r="E62" s="2104" t="s">
        <v>2331</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10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1428</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600</v>
      </c>
      <c r="C68" s="211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600</v>
      </c>
      <c r="F69" s="211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600</v>
      </c>
      <c r="F70" s="213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600</v>
      </c>
      <c r="F71" s="213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600</v>
      </c>
      <c r="F73" s="211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600</v>
      </c>
      <c r="C75" s="2112"/>
      <c r="D75" s="581" t="s">
        <v>1432</v>
      </c>
      <c r="E75" s="2040" t="s">
        <v>1931</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1417</v>
      </c>
      <c r="AF81" s="1930"/>
      <c r="AG81" s="1930"/>
      <c r="AH81" s="1930"/>
      <c r="AI81" s="1930"/>
      <c r="AJ81" s="1930"/>
      <c r="AK81" s="193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554</v>
      </c>
      <c r="C84" s="2112"/>
      <c r="D84" s="581" t="s">
        <v>1427</v>
      </c>
      <c r="E84" s="2104" t="s">
        <v>1437</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0.47575757575757577</v>
      </c>
      <c r="F87" s="2101"/>
      <c r="G87" s="2101"/>
      <c r="H87" s="210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0.12</v>
      </c>
      <c r="F88" s="1904"/>
      <c r="G88" s="1904"/>
      <c r="H88" s="190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20</v>
      </c>
      <c r="F89" s="2117"/>
      <c r="G89" s="2117"/>
      <c r="H89" s="211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554</v>
      </c>
      <c r="C92" s="2112"/>
      <c r="D92" s="581" t="s">
        <v>1429</v>
      </c>
      <c r="E92" s="2104" t="s">
        <v>1916</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0.47575757575757577</v>
      </c>
      <c r="F97" s="2101"/>
      <c r="G97" s="2101"/>
      <c r="H97" s="210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0.1111111111111111</v>
      </c>
      <c r="F98" s="2101"/>
      <c r="G98" s="2101"/>
      <c r="H98" s="210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0.65656565656565657</v>
      </c>
      <c r="F99" s="2101"/>
      <c r="G99" s="2101"/>
      <c r="H99" s="210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1426</v>
      </c>
      <c r="AF106" s="1930"/>
      <c r="AG106" s="1930"/>
      <c r="AH106" s="1930"/>
      <c r="AI106" s="1930"/>
      <c r="AJ106" s="1930"/>
      <c r="AK106" s="1930"/>
      <c r="AL106" s="574"/>
      <c r="AM106" s="574"/>
      <c r="AN106" s="569"/>
      <c r="AO106" s="570" t="str">
        <f>Application!B718</f>
        <v>1 Bedroom</v>
      </c>
      <c r="AQ106" s="570">
        <f>Application!O718</f>
        <v>354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404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449</v>
      </c>
    </row>
    <row r="109" spans="1:49" s="570" customFormat="1" ht="12.75" customHeight="1">
      <c r="A109" s="574"/>
      <c r="B109" s="2112" t="s">
        <v>554</v>
      </c>
      <c r="C109" s="2112"/>
      <c r="D109" s="581" t="s">
        <v>1427</v>
      </c>
      <c r="E109" s="2104" t="s">
        <v>2050</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1 Bedroom</v>
      </c>
      <c r="AQ109" s="570">
        <f>Application!O721</f>
        <v>519</v>
      </c>
      <c r="AU109" s="570" t="s">
        <v>2032</v>
      </c>
      <c r="AV109" s="629" t="s">
        <v>2033</v>
      </c>
      <c r="AW109" s="570" t="s">
        <v>2034</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t="str">
        <f>Application!B722</f>
        <v>2 Bedrooms</v>
      </c>
      <c r="AQ110" s="570">
        <f>Application!O722</f>
        <v>602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3 Bedrooms</v>
      </c>
      <c r="AQ111" s="570">
        <f>Application!O723</f>
        <v>677</v>
      </c>
      <c r="AU111" s="890" t="str">
        <f>J118</f>
        <v>1-bedroom</v>
      </c>
      <c r="AV111" s="570">
        <f t="array" ref="AV111">SUM(IF(Application!B718:F752="1 Bedroom",Application!G718:J752))</f>
        <v>24</v>
      </c>
      <c r="AW111" s="1046">
        <f>AV111/AV116</f>
        <v>0.24242424242424243</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1 Bedroom</v>
      </c>
      <c r="AQ112" s="570">
        <f>Application!O724</f>
        <v>683</v>
      </c>
      <c r="AU112" s="890" t="str">
        <f>O118</f>
        <v>2-bedroom</v>
      </c>
      <c r="AV112" s="570">
        <f t="array" ref="AV112">SUM(IF(Application!B718:F752="2 Bedrooms",Application!G718:J752))</f>
        <v>50</v>
      </c>
      <c r="AW112" s="1046">
        <f>AV112/AV116</f>
        <v>0.50505050505050508</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2 Bedrooms</v>
      </c>
      <c r="AQ113" s="570">
        <f>Application!O725</f>
        <v>799</v>
      </c>
      <c r="AU113" s="890" t="str">
        <f>T118</f>
        <v>3-bedroom</v>
      </c>
      <c r="AV113" s="570">
        <f t="array" ref="AV113">SUM(IF(Application!B718:F752="3 Bedrooms",Application!G718:J752))</f>
        <v>25</v>
      </c>
      <c r="AW113" s="1046">
        <f>AV113/AV116</f>
        <v>0.25252525252525254</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3 Bedrooms</v>
      </c>
      <c r="AQ114" s="570">
        <f>Application!O726</f>
        <v>905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t="str">
        <f>Application!B727</f>
        <v>1 Bedroom</v>
      </c>
      <c r="AQ115" s="570">
        <f>Application!O727</f>
        <v>848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2 Bedrooms</v>
      </c>
      <c r="AQ116" s="570">
        <f>Application!O728</f>
        <v>997</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1133</v>
      </c>
    </row>
    <row r="118" spans="1:52" s="570" customFormat="1" ht="12.75" customHeight="1">
      <c r="A118" s="574"/>
      <c r="B118" s="573"/>
      <c r="C118" s="574"/>
      <c r="D118" s="574"/>
      <c r="E118" s="2100" t="s">
        <v>1701</v>
      </c>
      <c r="F118" s="2101"/>
      <c r="G118" s="2101"/>
      <c r="H118" s="2101"/>
      <c r="I118" s="611"/>
      <c r="J118" s="2101" t="s">
        <v>1745</v>
      </c>
      <c r="K118" s="2101"/>
      <c r="L118" s="2101"/>
      <c r="M118" s="2101"/>
      <c r="N118" s="611"/>
      <c r="O118" s="2101" t="s">
        <v>1746</v>
      </c>
      <c r="P118" s="2101"/>
      <c r="Q118" s="2101"/>
      <c r="R118" s="2101"/>
      <c r="S118" s="611"/>
      <c r="T118" s="2101" t="s">
        <v>1446</v>
      </c>
      <c r="U118" s="2101"/>
      <c r="V118" s="2101"/>
      <c r="W118" s="2101"/>
      <c r="X118" s="611"/>
      <c r="Y118" s="2101" t="s">
        <v>1747</v>
      </c>
      <c r="Z118" s="2101"/>
      <c r="AA118" s="2101"/>
      <c r="AB118" s="2101"/>
      <c r="AC118" s="611"/>
      <c r="AD118" s="2101" t="s">
        <v>1748</v>
      </c>
      <c r="AE118" s="2101"/>
      <c r="AF118" s="2101"/>
      <c r="AG118" s="21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c r="F121" s="2103"/>
      <c r="G121" s="2103"/>
      <c r="H121" s="2103"/>
      <c r="I121" s="898"/>
      <c r="J121" s="2103">
        <v>1962</v>
      </c>
      <c r="K121" s="2103"/>
      <c r="L121" s="2103"/>
      <c r="M121" s="2103"/>
      <c r="N121" s="898"/>
      <c r="O121" s="2103">
        <v>2130</v>
      </c>
      <c r="P121" s="2103"/>
      <c r="Q121" s="2103"/>
      <c r="R121" s="2103"/>
      <c r="S121" s="898"/>
      <c r="T121" s="2103">
        <v>2592</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0</v>
      </c>
      <c r="F124" s="2111"/>
      <c r="G124" s="2111"/>
      <c r="H124" s="2111"/>
      <c r="I124" s="898"/>
      <c r="J124" s="2111">
        <f>Application!EC670</f>
        <v>642.125</v>
      </c>
      <c r="K124" s="2111"/>
      <c r="L124" s="2111"/>
      <c r="M124" s="2111"/>
      <c r="N124" s="898"/>
      <c r="O124" s="2111">
        <f>Application!EH670</f>
        <v>751.84</v>
      </c>
      <c r="P124" s="2111"/>
      <c r="Q124" s="2111"/>
      <c r="R124" s="2111"/>
      <c r="S124" s="902"/>
      <c r="T124" s="2111">
        <f>Application!EM670</f>
        <v>850.28</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t="e">
        <f>(E121-E124)/E121</f>
        <v>#DIV/0!</v>
      </c>
      <c r="F127" s="1904"/>
      <c r="G127" s="1904"/>
      <c r="H127" s="1905"/>
      <c r="I127" s="611"/>
      <c r="J127" s="1903">
        <f>(J121-J124)/J121</f>
        <v>0.67271916411824673</v>
      </c>
      <c r="K127" s="1904"/>
      <c r="L127" s="1904"/>
      <c r="M127" s="1905"/>
      <c r="N127" s="611"/>
      <c r="O127" s="1903">
        <f>(O121-O124)/O121</f>
        <v>0.64702347417840367</v>
      </c>
      <c r="P127" s="1904"/>
      <c r="Q127" s="1904"/>
      <c r="R127" s="1905"/>
      <c r="S127" s="611"/>
      <c r="T127" s="1903">
        <f>(T121-T124)/T121</f>
        <v>0.67195987654320988</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t="e">
        <f>IF(((E127-0.1)*AW110)&gt;0,((E127-0.1)*AW110),0)</f>
        <v>#DIV/0!</v>
      </c>
      <c r="F130" s="2114"/>
      <c r="G130" s="2114"/>
      <c r="H130" s="2115"/>
      <c r="I130" s="611"/>
      <c r="J130" s="2113">
        <f>IF(((J127-0.1)*AW111)&gt;0,((J127-0.1)*AW111),0)</f>
        <v>0.13884100948321135</v>
      </c>
      <c r="K130" s="2114"/>
      <c r="L130" s="2114"/>
      <c r="M130" s="2115"/>
      <c r="N130" s="611"/>
      <c r="O130" s="2113">
        <f>IF(((O127-0.1)*AW112)&gt;0,((O127-0.1)*AW112),0)</f>
        <v>0.27627448190828469</v>
      </c>
      <c r="P130" s="2114"/>
      <c r="Q130" s="2114"/>
      <c r="R130" s="2115"/>
      <c r="S130" s="611"/>
      <c r="T130" s="2113">
        <f>IF(((T127-0.1)*AW113)&gt;0,((T127-0.1)*AW113),0)</f>
        <v>0.14443431225838635</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0.55000000000000004</v>
      </c>
      <c r="F132" s="1904"/>
      <c r="G132" s="1904"/>
      <c r="H132" s="190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0" t="s">
        <v>1426</v>
      </c>
      <c r="AF140" s="1930"/>
      <c r="AG140" s="1930"/>
      <c r="AH140" s="1930"/>
      <c r="AI140" s="1930"/>
      <c r="AJ140" s="1930"/>
      <c r="AK140" s="193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1450</v>
      </c>
      <c r="AG142" s="1997"/>
      <c r="AH142" s="1997"/>
      <c r="AI142" s="1997"/>
      <c r="AJ142" s="1997"/>
      <c r="AK142" s="1997"/>
      <c r="AL142" s="199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2658</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2" t="s">
        <v>2332</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3" t="s">
        <v>600</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2" t="s">
        <v>1455</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1464</v>
      </c>
      <c r="AG157" s="1997"/>
      <c r="AH157" s="1997"/>
      <c r="AI157" s="1997"/>
      <c r="AJ157" s="1997"/>
      <c r="AK157" s="1997"/>
      <c r="AL157" s="1997"/>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1462</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600</v>
      </c>
      <c r="AG161" s="203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2" t="s">
        <v>1455</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1" t="s">
        <v>2719</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1426</v>
      </c>
      <c r="AF175" s="1930"/>
      <c r="AG175" s="1930"/>
      <c r="AH175" s="1930"/>
      <c r="AI175" s="1930"/>
      <c r="AJ175" s="1930"/>
      <c r="AK175" s="193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9" t="s">
        <v>1066</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1475</v>
      </c>
      <c r="AG177" s="1997"/>
      <c r="AH177" s="1997"/>
      <c r="AI177" s="1997"/>
      <c r="AJ177" s="1997"/>
      <c r="AK177" s="1997"/>
      <c r="AL177" s="1997"/>
      <c r="AN177" s="631"/>
      <c r="AP177" s="584" t="s">
        <v>1068</v>
      </c>
      <c r="AQ177" s="584">
        <v>10</v>
      </c>
    </row>
    <row r="178" spans="1:45" s="584" customFormat="1" ht="12.75" customHeight="1">
      <c r="A178" s="570"/>
      <c r="B178" s="2090" t="s">
        <v>1917</v>
      </c>
      <c r="C178" s="2090"/>
      <c r="D178" s="2090"/>
      <c r="E178" s="2090"/>
      <c r="F178" s="2090"/>
      <c r="G178" s="2090"/>
      <c r="H178" s="2090"/>
      <c r="I178" s="2090"/>
      <c r="J178" s="2090"/>
      <c r="K178" s="2090"/>
      <c r="L178" s="2090"/>
      <c r="M178" s="2090"/>
      <c r="N178" s="2090"/>
      <c r="O178" s="2090"/>
      <c r="P178" s="2090"/>
      <c r="Q178" s="2090"/>
      <c r="R178" s="2090"/>
      <c r="S178" s="2090"/>
      <c r="T178" s="2091" t="s">
        <v>600</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4">
        <f>IF(AK78&gt;0,VLOOKUP($B$177,AP174:AQ180,2,FALSE),0)</f>
        <v>10</v>
      </c>
      <c r="AL180" s="1925"/>
      <c r="AM180" s="1926"/>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1484</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tr">
        <f>+[1]Application!C627</f>
        <v>HCD-Infill Infrastructure Grant Program</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f>+[1]Application!AO627</f>
        <v>5469400</v>
      </c>
      <c r="AE188" s="2073"/>
      <c r="AF188" s="2073"/>
      <c r="AG188" s="2073"/>
      <c r="AH188" s="2073"/>
      <c r="AI188" s="2073"/>
      <c r="AJ188" s="2073"/>
      <c r="AK188" s="644"/>
    </row>
    <row r="189" spans="1:45">
      <c r="A189" s="639"/>
      <c r="B189" s="2083" t="str">
        <f>+[1]Application!C628</f>
        <v xml:space="preserve">HCD-Joe Serna Jr. FWHG </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f>+[1]Application!AO628</f>
        <v>10547446</v>
      </c>
      <c r="AE189" s="2073"/>
      <c r="AF189" s="2073"/>
      <c r="AG189" s="2073"/>
      <c r="AH189" s="2073"/>
      <c r="AI189" s="2073"/>
      <c r="AJ189" s="2073"/>
      <c r="AK189" s="644"/>
    </row>
    <row r="190" spans="1:45">
      <c r="A190" s="639"/>
      <c r="B190" s="2083" t="str">
        <f>+[1]Application!C629</f>
        <v xml:space="preserve">HCD-Multifamily Housing Program </v>
      </c>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f>+[1]Application!AO629</f>
        <v>21798150</v>
      </c>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1740</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0</v>
      </c>
      <c r="AE198" s="2071"/>
      <c r="AF198" s="2071"/>
      <c r="AG198" s="2071"/>
      <c r="AH198" s="2071"/>
      <c r="AI198" s="2071"/>
      <c r="AJ198" s="2071"/>
      <c r="AK198" s="644"/>
    </row>
    <row r="199" spans="1:37">
      <c r="A199" s="639"/>
      <c r="B199" s="1942" t="s">
        <v>1703</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7">
        <f>SUM(AD188:AJ198)-AD199</f>
        <v>37814996</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1720</v>
      </c>
      <c r="J211" s="2096"/>
      <c r="K211" s="2096"/>
      <c r="L211" s="570"/>
      <c r="M211" s="570"/>
      <c r="N211" s="570"/>
      <c r="O211" s="570"/>
      <c r="P211" s="570"/>
      <c r="Q211" s="570"/>
      <c r="R211" s="570"/>
      <c r="S211" s="570"/>
      <c r="T211" s="1908" t="s">
        <v>1714</v>
      </c>
      <c r="U211" s="1908"/>
      <c r="V211" s="1908"/>
      <c r="W211" s="1908"/>
      <c r="X211" s="1908"/>
      <c r="Y211" s="1908"/>
      <c r="Z211" s="883"/>
      <c r="AA211" s="523"/>
      <c r="AB211" s="2093" t="s">
        <v>1715</v>
      </c>
      <c r="AC211" s="2093"/>
      <c r="AD211" s="2093"/>
      <c r="AE211" s="2093"/>
      <c r="AF211" s="2093"/>
      <c r="AG211" s="2093"/>
      <c r="AH211" s="861"/>
      <c r="AI211" s="861"/>
      <c r="AJ211" s="861"/>
      <c r="AK211" s="644"/>
    </row>
    <row r="212" spans="1:37">
      <c r="A212" s="639"/>
      <c r="B212" s="2094" t="s">
        <v>1700</v>
      </c>
      <c r="C212" s="2094"/>
      <c r="D212" s="2094"/>
      <c r="E212" s="2094"/>
      <c r="F212" s="2094"/>
      <c r="G212" s="2094"/>
      <c r="I212" s="2095" t="s">
        <v>1721</v>
      </c>
      <c r="J212" s="2095"/>
      <c r="K212" s="2095"/>
      <c r="L212" s="1043"/>
      <c r="N212" s="1943" t="s">
        <v>1716</v>
      </c>
      <c r="O212" s="1943"/>
      <c r="P212" s="1943"/>
      <c r="Q212" s="1943"/>
      <c r="R212" s="1943"/>
      <c r="T212" s="1943" t="s">
        <v>1717</v>
      </c>
      <c r="U212" s="1943"/>
      <c r="V212" s="1943"/>
      <c r="W212" s="1943"/>
      <c r="X212" s="1943"/>
      <c r="Y212" s="1943"/>
      <c r="Z212" s="884"/>
      <c r="AA212" s="523"/>
      <c r="AB212" s="1946" t="s">
        <v>1718</v>
      </c>
      <c r="AC212" s="1946"/>
      <c r="AD212" s="1946"/>
      <c r="AE212" s="1946"/>
      <c r="AF212" s="1946"/>
      <c r="AG212" s="1946"/>
      <c r="AH212" s="861"/>
      <c r="AI212" s="861"/>
      <c r="AJ212" s="861"/>
      <c r="AK212" s="644"/>
    </row>
    <row r="213" spans="1:37">
      <c r="A213" s="639"/>
      <c r="B213" s="1945" t="s">
        <v>1291</v>
      </c>
      <c r="C213" s="1945"/>
      <c r="D213" s="1945"/>
      <c r="E213" s="1945"/>
      <c r="F213" s="1945"/>
      <c r="G213" s="1945"/>
      <c r="H213" s="886"/>
      <c r="I213" s="1913"/>
      <c r="J213" s="1913"/>
      <c r="K213" s="1913"/>
      <c r="L213" s="1043"/>
      <c r="N213" s="1910"/>
      <c r="O213" s="1910"/>
      <c r="P213" s="1910"/>
      <c r="Q213" s="1910"/>
      <c r="R213" s="1910"/>
      <c r="T213" s="1909"/>
      <c r="U213" s="1909"/>
      <c r="V213" s="1909"/>
      <c r="W213" s="1909"/>
      <c r="X213" s="1909"/>
      <c r="Y213" s="1909"/>
      <c r="Z213" s="885"/>
      <c r="AA213" s="885"/>
      <c r="AB213" s="1907">
        <f t="shared" ref="AB213:AB222" si="0">MAX(($T213-$N213)*$I213*12,0)</f>
        <v>0</v>
      </c>
      <c r="AC213" s="1907"/>
      <c r="AD213" s="1907"/>
      <c r="AE213" s="1907"/>
      <c r="AF213" s="1907"/>
      <c r="AG213" s="1907"/>
      <c r="AH213" s="861"/>
      <c r="AI213" s="861"/>
      <c r="AJ213" s="861"/>
      <c r="AK213" s="644"/>
    </row>
    <row r="214" spans="1:37">
      <c r="A214" s="639"/>
      <c r="B214" s="1945" t="s">
        <v>1291</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1291</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1291</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1291</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1291</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1291</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1291</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1291</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1291</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7">
        <f>SUM(AB213:AB222)</f>
        <v>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0</v>
      </c>
      <c r="AC239" s="1907"/>
      <c r="AD239" s="1907"/>
      <c r="AE239" s="1907"/>
      <c r="AF239" s="1907"/>
      <c r="AG239" s="190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0</v>
      </c>
      <c r="AC241" s="2082"/>
      <c r="AD241" s="2082"/>
      <c r="AE241" s="2082"/>
      <c r="AF241" s="2082"/>
      <c r="AG241" s="20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0</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0</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37814996</v>
      </c>
      <c r="AH257" s="1921"/>
      <c r="AI257" s="1921"/>
      <c r="AJ257" s="1921"/>
      <c r="AK257" s="192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74564494</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1.01</v>
      </c>
      <c r="AH259" s="2070"/>
      <c r="AI259" s="2070"/>
      <c r="AJ259" s="2070"/>
      <c r="AK259" s="2070"/>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9">
        <f>IFERROR(IF(AG259=0,0,IF((AG259*100)&gt;8,8,(AG259*100))),0)</f>
        <v>8</v>
      </c>
      <c r="AL262" s="2059"/>
      <c r="AM262" s="206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9" t="s">
        <v>554</v>
      </c>
      <c r="D267" s="1939"/>
      <c r="E267" s="581"/>
      <c r="F267" s="1890" t="s">
        <v>2340</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1475</v>
      </c>
      <c r="AH267" s="2068"/>
      <c r="AI267" s="2068"/>
      <c r="AJ267" s="2068"/>
      <c r="AK267" s="584"/>
      <c r="AL267" s="584"/>
      <c r="AM267" s="584"/>
      <c r="AO267" s="584"/>
    </row>
    <row r="268" spans="1:52" ht="13.7"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7"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9">
        <f>IF($C$267="yes",10,0)</f>
        <v>10</v>
      </c>
      <c r="AL274" s="2059"/>
      <c r="AM274" s="206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2" t="s">
        <v>1494</v>
      </c>
      <c r="B281" s="1642"/>
      <c r="C281" s="2033" t="s">
        <v>554</v>
      </c>
      <c r="D281" s="1939"/>
      <c r="E281" s="581"/>
      <c r="F281" s="2061" t="s">
        <v>1495</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2333</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6" t="s">
        <v>2341</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1496</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1497</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2" t="s">
        <v>1498</v>
      </c>
      <c r="B291" s="1642"/>
      <c r="C291" s="1939" t="s">
        <v>600</v>
      </c>
      <c r="D291" s="193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3" t="s">
        <v>2335</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2" t="s">
        <v>1501</v>
      </c>
      <c r="B299" s="1642"/>
      <c r="C299" s="1939" t="s">
        <v>600</v>
      </c>
      <c r="D299" s="193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6" t="s">
        <v>2342</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1291</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1291</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2" t="s">
        <v>1291</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2" t="s">
        <v>1291</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2" t="s">
        <v>1504</v>
      </c>
      <c r="B322" s="1642"/>
      <c r="C322" s="1939" t="s">
        <v>600</v>
      </c>
      <c r="D322" s="1939"/>
      <c r="E322" s="581"/>
      <c r="F322" s="2040" t="s">
        <v>2343</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4">
        <f>IF(NOT(OR(Application!M355="Yes",Application!M356="Yes")),0,AP284)</f>
        <v>10</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0" t="s">
        <v>1426</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1566</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4"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2410</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2574</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1567</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15"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85"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0</v>
      </c>
      <c r="AS346" s="573" t="s">
        <v>1568</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7</v>
      </c>
      <c r="AS348" s="573" t="s">
        <v>1569</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0</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590</v>
      </c>
      <c r="AP350" s="730">
        <f>IF(C396="Yes",5,0)</f>
        <v>0</v>
      </c>
      <c r="AS350" s="573" t="s">
        <v>2071</v>
      </c>
    </row>
    <row r="351" spans="1:46" s="584" customFormat="1" ht="12.75" customHeight="1">
      <c r="A351" s="637"/>
      <c r="B351" s="645"/>
      <c r="C351" s="2028" t="s">
        <v>1570</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4" t="s">
        <v>1571</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465</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470</v>
      </c>
      <c r="AP359" s="730">
        <f>IF(C438="Yes",5,0)</f>
        <v>0</v>
      </c>
    </row>
    <row r="360" spans="1:81" s="584" customFormat="1" ht="68.099999999999994"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5">
        <f>Application!CS660-U363</f>
        <v>199</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6">
        <f>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7">
        <f>IF(AP364&gt;0,AP364,0)</f>
        <v>0</v>
      </c>
      <c r="AR364" s="193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8" t="s">
        <v>1573</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600</v>
      </c>
      <c r="D370" s="193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1575</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8" t="s">
        <v>1576</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600</v>
      </c>
      <c r="D378" s="193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1575</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8" t="s">
        <v>1578</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554</v>
      </c>
      <c r="D386" s="193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1580</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600</v>
      </c>
      <c r="D388" s="193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1575</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8" t="s">
        <v>1584</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600</v>
      </c>
      <c r="D396" s="193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1575</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554</v>
      </c>
      <c r="D398" s="193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1587</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600</v>
      </c>
      <c r="D401" s="1939"/>
      <c r="E401" s="749" t="s">
        <v>1588</v>
      </c>
      <c r="F401" s="1928" t="s">
        <v>1589</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1575</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8" t="s">
        <v>1591</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600</v>
      </c>
      <c r="D410" s="193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1575</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600</v>
      </c>
      <c r="D412" s="193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1587</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8" t="s">
        <v>1595</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4"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600</v>
      </c>
      <c r="D419" s="193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1575</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8" t="s">
        <v>1598</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600</v>
      </c>
      <c r="D431" s="193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1575</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8" t="s">
        <v>1601</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600</v>
      </c>
      <c r="D438" s="193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1575</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600</v>
      </c>
      <c r="D442" s="2057"/>
      <c r="E442" s="749" t="s">
        <v>1610</v>
      </c>
      <c r="F442" s="1928" t="s">
        <v>1611</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1575</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649999999999999"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600</v>
      </c>
      <c r="D446" s="1939"/>
      <c r="E446" s="749" t="s">
        <v>1616</v>
      </c>
      <c r="F446" s="1928" t="s">
        <v>1617</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1575</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8" t="s">
        <v>1620</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600</v>
      </c>
      <c r="D455" s="193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1575</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7" t="s">
        <v>1624</v>
      </c>
      <c r="AF461" s="1927"/>
      <c r="AG461" s="1927"/>
      <c r="AH461" s="1927"/>
      <c r="AI461" s="1927"/>
      <c r="AJ461" s="1927"/>
      <c r="AK461" s="192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4" t="s">
        <v>600</v>
      </c>
      <c r="D467" s="2005"/>
      <c r="E467" s="795" t="s">
        <v>516</v>
      </c>
      <c r="F467" s="2025" t="s">
        <v>1630</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1" t="s">
        <v>554</v>
      </c>
      <c r="D471" s="2022"/>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3" t="s">
        <v>600</v>
      </c>
      <c r="W474" s="1933"/>
      <c r="X474" s="193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3" t="s">
        <v>600</v>
      </c>
      <c r="W476" s="1933"/>
      <c r="X476" s="193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3" t="s">
        <v>600</v>
      </c>
      <c r="W481" s="1933"/>
      <c r="X481" s="193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7"/>
      <c r="E484" s="2007"/>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3" t="s">
        <v>600</v>
      </c>
      <c r="W485" s="1933"/>
      <c r="X485" s="193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3" t="s">
        <v>600</v>
      </c>
      <c r="W487" s="1933"/>
      <c r="X487" s="193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600</v>
      </c>
      <c r="D490" s="2005"/>
      <c r="E490" s="795" t="s">
        <v>516</v>
      </c>
      <c r="F490" s="2025" t="s">
        <v>1630</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600</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600</v>
      </c>
      <c r="D494" s="2005"/>
      <c r="E494" s="795" t="s">
        <v>767</v>
      </c>
      <c r="F494" s="2013" t="s">
        <v>1652</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600</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600</v>
      </c>
      <c r="D499" s="200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600</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600</v>
      </c>
      <c r="D504" s="201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600</v>
      </c>
      <c r="D508" s="2010"/>
      <c r="F508" s="829" t="s">
        <v>1660</v>
      </c>
      <c r="G508" s="1929" t="s">
        <v>1661</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600</v>
      </c>
      <c r="D512" s="201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600</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1673</v>
      </c>
      <c r="AF527" s="1930"/>
      <c r="AG527" s="1930"/>
      <c r="AH527" s="1930"/>
      <c r="AI527" s="1930"/>
      <c r="AJ527" s="1930"/>
      <c r="AK527" s="193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600</v>
      </c>
      <c r="D530" s="1939"/>
      <c r="E530" s="585"/>
      <c r="F530" s="1998" t="s">
        <v>1674</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554</v>
      </c>
      <c r="D533" s="193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1676</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1677</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44159328</v>
      </c>
      <c r="AQ539" s="1911"/>
      <c r="AR539" s="1911"/>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67178715</v>
      </c>
      <c r="AG540" s="1921"/>
      <c r="AH540" s="1921"/>
      <c r="AI540" s="1921"/>
      <c r="AJ540" s="192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92734589.400000006</v>
      </c>
      <c r="AG541" s="1922"/>
      <c r="AH541" s="1922"/>
      <c r="AI541" s="1922"/>
      <c r="AJ541" s="1922"/>
      <c r="AK541" s="629"/>
      <c r="AL541" s="629"/>
      <c r="AM541" s="629"/>
      <c r="AN541" s="631"/>
      <c r="AP541" s="1911">
        <f>Application!AJ1044</f>
        <v>28703563.199999999</v>
      </c>
      <c r="AQ541" s="1911"/>
      <c r="AR541" s="1911"/>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0.55000000000000004</v>
      </c>
      <c r="AG542" s="1923"/>
      <c r="AH542" s="1923"/>
      <c r="AI542" s="1923"/>
      <c r="AJ542" s="1923"/>
      <c r="AK542" s="629"/>
      <c r="AL542" s="629"/>
      <c r="AM542" s="629"/>
      <c r="AN542" s="631"/>
      <c r="AP542" s="1912">
        <f>Application!AJ1048</f>
        <v>9715052.1600000001</v>
      </c>
      <c r="AQ542" s="1912"/>
      <c r="AR542" s="191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2537</v>
      </c>
    </row>
    <row r="544" spans="1:49" s="584" customFormat="1" ht="12.75" customHeight="1">
      <c r="A544" s="658"/>
      <c r="B544" s="1977" t="s">
        <v>2347</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57407127</v>
      </c>
      <c r="AQ545" s="1932"/>
      <c r="AR545" s="1932"/>
      <c r="AS545" s="584" t="s">
        <v>2539</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95825742.359999999</v>
      </c>
      <c r="AQ546" s="1911"/>
      <c r="AR546" s="1911"/>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6">
        <f>IFERROR(IF(AND(C530="N/A",C533="N/A"),0,IF(AF542=0,0,IF((AF542*100)&gt;12,12,(AF542*100)))),0)</f>
        <v>12</v>
      </c>
      <c r="AL548" s="1986"/>
      <c r="AM548" s="1987"/>
      <c r="AN548" s="631"/>
      <c r="AP548" s="1900">
        <f>AP545+(AP539*AP543)</f>
        <v>92734589.400000006</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1426</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2338</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1450</v>
      </c>
      <c r="AG567" s="1997"/>
      <c r="AH567" s="1997"/>
      <c r="AI567" s="1997"/>
      <c r="AJ567" s="1997"/>
      <c r="AK567" s="1997"/>
      <c r="AL567" s="1997"/>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1508</v>
      </c>
      <c r="AG574" s="1997"/>
      <c r="AH574" s="1997"/>
      <c r="AI574" s="1997"/>
      <c r="AJ574" s="1997"/>
      <c r="AK574" s="1997"/>
      <c r="AL574" s="1997"/>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1490</v>
      </c>
      <c r="AG580" s="1997"/>
      <c r="AH580" s="1997"/>
      <c r="AI580" s="1997"/>
      <c r="AJ580" s="1997"/>
      <c r="AK580" s="1997"/>
      <c r="AL580" s="1997"/>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1511</v>
      </c>
      <c r="AG586" s="1997"/>
      <c r="AH586" s="1997"/>
      <c r="AI586" s="1997"/>
      <c r="AJ586" s="1997"/>
      <c r="AK586" s="1997"/>
      <c r="AL586" s="1997"/>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6" t="s">
        <v>1291</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1464</v>
      </c>
      <c r="AG592" s="1997"/>
      <c r="AH592" s="1997"/>
      <c r="AI592" s="1997"/>
      <c r="AJ592" s="1997"/>
      <c r="AK592" s="1997"/>
      <c r="AL592" s="1997"/>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1" t="s">
        <v>1509</v>
      </c>
      <c r="I595" s="1941"/>
      <c r="J595" s="971"/>
      <c r="K595" s="971"/>
      <c r="L595" s="971"/>
      <c r="N595" s="22"/>
      <c r="O595" s="22"/>
      <c r="P595" s="22"/>
      <c r="Q595" s="1195" t="s">
        <v>2542</v>
      </c>
      <c r="R595" s="2037" t="s">
        <v>2543</v>
      </c>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5" t="s">
        <v>600</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3" t="s">
        <v>600</v>
      </c>
      <c r="C605" s="2033"/>
      <c r="D605" s="676"/>
      <c r="E605" s="1917" t="s">
        <v>1515</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4">
        <f>VLOOKUP($H$595,$AO$575:$AP$580,2,FALSE)+IF(R595=AO583,0,VLOOKUP($I$603,$AO$602:$AP$604,2,FALSE))</f>
        <v>4</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4" t="s">
        <v>1885</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1464</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3" t="s">
        <v>600</v>
      </c>
      <c r="Y623" s="203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1520</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1" t="s">
        <v>697</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4">
        <f>VLOOKUP($H$627,$AO$594:$AP$596,2,FALSE)</f>
        <v>3</v>
      </c>
      <c r="AK629" s="1926"/>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7" t="s">
        <v>2417</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1464</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1520</v>
      </c>
      <c r="AG636" s="1997"/>
      <c r="AH636" s="1997"/>
      <c r="AI636" s="1997"/>
      <c r="AJ636" s="1997"/>
      <c r="AK636" s="1997"/>
      <c r="AL636" s="1997"/>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1" t="s">
        <v>600</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4">
        <f>VLOOKUP(H639,AT594:AU596,2,FALSE)</f>
        <v>0</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7" t="s">
        <v>1530</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1490</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7" t="s">
        <v>1531</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1511</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1532</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1464</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600</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7" t="s">
        <v>1533</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1511</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7" t="s">
        <v>1534</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1464</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7" t="s">
        <v>1535</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1520</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7" t="s">
        <v>1536</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1537</v>
      </c>
      <c r="AG670" s="1997"/>
      <c r="AH670" s="1997"/>
      <c r="AI670" s="1997"/>
      <c r="AJ670" s="1997"/>
      <c r="AK670" s="1997"/>
      <c r="AL670" s="1997"/>
      <c r="AM670" s="630"/>
      <c r="AN670" s="631"/>
      <c r="AO670" s="645" t="s">
        <v>697</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1" t="s">
        <v>697</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99</v>
      </c>
    </row>
    <row r="680" spans="1:51" s="584" customFormat="1" ht="12.75" customHeight="1">
      <c r="A680" s="713"/>
      <c r="B680" s="570"/>
      <c r="C680" s="983"/>
      <c r="D680" s="697" t="s">
        <v>697</v>
      </c>
      <c r="E680" s="2032" t="s">
        <v>2555</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1464</v>
      </c>
      <c r="AG680" s="1997"/>
      <c r="AH680" s="1997"/>
      <c r="AI680" s="1997"/>
      <c r="AJ680" s="1997"/>
      <c r="AK680" s="1997"/>
      <c r="AL680" s="1997"/>
      <c r="AN680" s="631"/>
      <c r="AW680" s="22" t="s">
        <v>2550</v>
      </c>
      <c r="AX680" s="584">
        <f>Application!CC632</f>
        <v>25</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7" t="s">
        <v>2454</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1464</v>
      </c>
      <c r="AG683" s="1997"/>
      <c r="AH683" s="1997"/>
      <c r="AI683" s="1997"/>
      <c r="AJ683" s="1997"/>
      <c r="AK683" s="1997"/>
      <c r="AL683" s="1997"/>
      <c r="AN683" s="631"/>
      <c r="AW683" s="22" t="s">
        <v>2553</v>
      </c>
      <c r="AX683" s="584">
        <f>AX680+AX681+AX682</f>
        <v>25</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1</v>
      </c>
      <c r="AP684" s="1932"/>
      <c r="AW684" s="22" t="s">
        <v>2554</v>
      </c>
      <c r="AX684" s="584">
        <f>IFERROR(AX683/AX679,0)</f>
        <v>0.25252525252525254</v>
      </c>
      <c r="AY684" s="584">
        <f>IFERROR(AX683/(AX679-AX678),0)</f>
        <v>0.25252525252525254</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7" t="s">
        <v>2455</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1520</v>
      </c>
      <c r="AG688" s="1997"/>
      <c r="AH688" s="1997"/>
      <c r="AI688" s="1997"/>
      <c r="AJ688" s="1997"/>
      <c r="AK688" s="1997"/>
      <c r="AL688" s="1997"/>
      <c r="AN688" s="631"/>
      <c r="AO688" s="645" t="s">
        <v>518</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7" t="s">
        <v>1884</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1" t="s">
        <v>279</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4">
        <f>VLOOKUP($H$698,$AO$692:$AP$695,2,FALSE)</f>
        <v>2</v>
      </c>
      <c r="AK700" s="1926"/>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0" t="s">
        <v>1886</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1464</v>
      </c>
      <c r="AG704" s="1997"/>
      <c r="AH704" s="1997"/>
      <c r="AI704" s="1997"/>
      <c r="AJ704" s="1997"/>
      <c r="AK704" s="1997"/>
      <c r="AL704" s="1997"/>
      <c r="AM704" s="584"/>
      <c r="AN704" s="718"/>
      <c r="AP704" s="604" t="s">
        <v>1544</v>
      </c>
    </row>
    <row r="705" spans="1:52" s="604" customFormat="1" ht="11.85"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1" t="s">
        <v>1547</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1520</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41" t="s">
        <v>600</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7" t="s">
        <v>1887</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1464</v>
      </c>
      <c r="AG718" s="1997"/>
      <c r="AH718" s="1997"/>
      <c r="AI718" s="1997"/>
      <c r="AJ718" s="1997"/>
      <c r="AK718" s="1997"/>
      <c r="AL718" s="1997"/>
      <c r="AM718" s="584"/>
      <c r="AN718" s="718"/>
      <c r="AT718" s="14"/>
      <c r="AU718" s="14"/>
      <c r="AV718" s="14"/>
      <c r="AW718" s="14"/>
      <c r="AX718" s="14"/>
      <c r="AY718" s="14"/>
      <c r="AZ718" s="14"/>
    </row>
    <row r="719" spans="1:52" s="604" customFormat="1">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7" t="s">
        <v>1551</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1520</v>
      </c>
      <c r="AG721" s="1997"/>
      <c r="AH721" s="1997"/>
      <c r="AI721" s="1997"/>
      <c r="AJ721" s="1997"/>
      <c r="AK721" s="1997"/>
      <c r="AL721" s="1997"/>
      <c r="AM721" s="584"/>
      <c r="AN721" s="718"/>
      <c r="AT721" s="14"/>
      <c r="AU721" s="14"/>
      <c r="AV721" s="14"/>
      <c r="AW721" s="14"/>
      <c r="AX721" s="14"/>
      <c r="AY721" s="14"/>
      <c r="AZ721" s="14"/>
    </row>
    <row r="722" spans="1:81" s="604" customFormat="1">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1" t="s">
        <v>600</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7" t="s">
        <v>1554</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1464</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7" t="s">
        <v>1555</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1520</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1" t="s">
        <v>600</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4">
        <f>VLOOKUP($H$740,$AO$669:$AP$671,2,FALSE)</f>
        <v>0</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7" t="s">
        <v>1557</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1520</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7" t="s">
        <v>1558</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1537</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1" t="s">
        <v>697</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7" t="s">
        <v>1883</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1520</v>
      </c>
      <c r="AG758" s="1997"/>
      <c r="AH758" s="1997"/>
      <c r="AI758" s="1997"/>
      <c r="AJ758" s="1997"/>
      <c r="AK758" s="1997"/>
      <c r="AL758" s="1997"/>
      <c r="AM758" s="647"/>
      <c r="AN758" s="718"/>
      <c r="AO758" s="584" t="s">
        <v>600</v>
      </c>
      <c r="AP758" s="707">
        <v>0</v>
      </c>
    </row>
    <row r="759" spans="1:74" s="604" customFormat="1" ht="13.7"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1888</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1464</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1" t="s">
        <v>600</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7" t="s">
        <v>2348</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1464</v>
      </c>
      <c r="AG774" s="1997"/>
      <c r="AH774" s="1997"/>
      <c r="AI774" s="1997"/>
      <c r="AJ774" s="1997"/>
      <c r="AK774" s="1997"/>
      <c r="AL774" s="199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1" t="s">
        <v>554</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4">
        <f>VLOOKUP($H$779,$AO$773:$AP$774,2,FALSE)</f>
        <v>3</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1681</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1682</v>
      </c>
      <c r="U791" s="1992"/>
      <c r="V791" s="1992"/>
      <c r="W791" s="1992"/>
      <c r="X791" s="1992"/>
      <c r="Y791" s="1993"/>
      <c r="Z791" s="1991" t="s">
        <v>1683</v>
      </c>
      <c r="AA791" s="1992"/>
      <c r="AB791" s="1992"/>
      <c r="AC791" s="1992"/>
      <c r="AD791" s="1992"/>
      <c r="AE791" s="1993"/>
      <c r="AF791" s="1991" t="s">
        <v>1684</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767</v>
      </c>
      <c r="B793" s="1948" t="s">
        <v>1416</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1654</v>
      </c>
      <c r="B794" s="1948" t="s">
        <v>1425</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1663</v>
      </c>
      <c r="B795" s="1948" t="s">
        <v>1435</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c r="A796" s="853" t="s">
        <v>1685</v>
      </c>
      <c r="B796" s="1948" t="s">
        <v>1445</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1686</v>
      </c>
      <c r="B797" s="1948" t="s">
        <v>1687</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1688</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1689</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1473</v>
      </c>
      <c r="B800" s="1948" t="s">
        <v>1690</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1482</v>
      </c>
      <c r="B801" s="1948" t="s">
        <v>1483</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598</v>
      </c>
      <c r="B802" s="1948" t="s">
        <v>1691</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8" t="s">
        <v>1692</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8" t="s">
        <v>1493</v>
      </c>
      <c r="C804" s="1948"/>
      <c r="D804" s="1948"/>
      <c r="E804" s="1948"/>
      <c r="F804" s="1948"/>
      <c r="G804" s="1948"/>
      <c r="H804" s="1948"/>
      <c r="I804" s="1948"/>
      <c r="J804" s="1948"/>
      <c r="K804" s="1948"/>
      <c r="L804" s="1948"/>
      <c r="M804" s="1948"/>
      <c r="N804" s="1948"/>
      <c r="O804" s="1948"/>
      <c r="P804" s="1948"/>
      <c r="Q804" s="1948"/>
      <c r="R804" s="1948"/>
      <c r="S804" s="1949"/>
      <c r="T804" s="1950">
        <f>AK327</f>
        <v>10</v>
      </c>
      <c r="U804" s="1950"/>
      <c r="V804" s="1950"/>
      <c r="W804" s="1950"/>
      <c r="X804" s="1950"/>
      <c r="Y804" s="1950"/>
      <c r="Z804" s="1959">
        <v>10</v>
      </c>
      <c r="AA804" s="1960"/>
      <c r="AB804" s="1960"/>
      <c r="AC804" s="1960"/>
      <c r="AD804" s="1960"/>
      <c r="AE804" s="1961"/>
      <c r="AF804" s="1959">
        <f>IF(T804&gt;Z804,Z804,T804)</f>
        <v>10</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6">
        <f>AK327</f>
        <v>10</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8" t="s">
        <v>857</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8" t="s">
        <v>1672</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8" t="s">
        <v>1694</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1695</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1696</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4" t="s">
        <v>1697</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120</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oCuHqOsTa+9VcwSmkOrp5m3jOlUqbuvACnnU6NQPuh9bP+53N0gaSiRaWMhd4OIZiktnGO1Fjjb6sDQls2dZgw==" saltValue="x1jtSGAXn3JZKr2EVUAQL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5" workbookViewId="0">
      <selection activeCell="G87" sqref="G8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21472696</v>
      </c>
      <c r="I3" s="1145"/>
    </row>
    <row r="4" spans="1:13" s="1086" customFormat="1" ht="20.100000000000001" customHeight="1">
      <c r="B4" s="1134"/>
      <c r="D4" s="1148"/>
      <c r="F4" s="1132" t="s">
        <v>2303</v>
      </c>
      <c r="G4" s="1131" t="s">
        <v>2302</v>
      </c>
      <c r="H4" s="1133">
        <f>I16</f>
        <v>33780229.426225491</v>
      </c>
      <c r="I4" s="1135"/>
      <c r="K4" s="1090"/>
    </row>
    <row r="5" spans="1:13" s="1086" customFormat="1" ht="20.100000000000001" customHeight="1" thickBot="1">
      <c r="B5" s="1136"/>
      <c r="C5" s="1137"/>
      <c r="D5" s="1149"/>
      <c r="E5" s="1138"/>
      <c r="F5" s="1149" t="s">
        <v>2243</v>
      </c>
      <c r="G5" s="1150"/>
      <c r="H5" s="1146">
        <f>H3/H4</f>
        <v>0.63565867860357217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45" t="s">
        <v>2280</v>
      </c>
      <c r="C9" s="2145"/>
      <c r="D9" s="2145"/>
      <c r="E9" s="1094">
        <f>G31</f>
        <v>6200000</v>
      </c>
      <c r="G9" s="2148" t="s">
        <v>2278</v>
      </c>
      <c r="H9" s="2148"/>
      <c r="I9" s="1095">
        <f>Application!AM554</f>
        <v>38323293</v>
      </c>
      <c r="K9" s="1096"/>
      <c r="M9" s="1097"/>
    </row>
    <row r="10" spans="1:13" ht="15" customHeight="1" thickBot="1">
      <c r="A10" s="1081"/>
      <c r="B10" s="2145" t="s">
        <v>2281</v>
      </c>
      <c r="C10" s="2145"/>
      <c r="D10" s="2145"/>
      <c r="E10" s="1095">
        <f>G40</f>
        <v>11580696</v>
      </c>
      <c r="G10" s="2148" t="s">
        <v>2244</v>
      </c>
      <c r="H10" s="2148"/>
      <c r="I10" s="1182">
        <f>'Basis &amp; Credits'!AB77</f>
        <v>0</v>
      </c>
      <c r="M10" s="1097"/>
    </row>
    <row r="11" spans="1:13" ht="15" customHeight="1">
      <c r="A11" s="1098"/>
      <c r="B11" s="2145" t="s">
        <v>2282</v>
      </c>
      <c r="C11" s="2145"/>
      <c r="D11" s="2145"/>
      <c r="E11" s="1095">
        <f>G49</f>
        <v>0</v>
      </c>
      <c r="G11" s="2148" t="s">
        <v>2293</v>
      </c>
      <c r="H11" s="2148"/>
      <c r="I11" s="1181">
        <f>I9+I10</f>
        <v>38323293</v>
      </c>
      <c r="M11" s="1097"/>
    </row>
    <row r="12" spans="1:13" ht="15" customHeight="1">
      <c r="A12" s="1084"/>
      <c r="B12" s="2145" t="s">
        <v>2283</v>
      </c>
      <c r="C12" s="2145"/>
      <c r="D12" s="2145"/>
      <c r="E12" s="1095">
        <f>G58</f>
        <v>220000</v>
      </c>
      <c r="G12" s="1183" t="s">
        <v>2318</v>
      </c>
      <c r="H12" s="1184"/>
      <c r="M12" s="1097"/>
    </row>
    <row r="13" spans="1:13" ht="15" customHeight="1">
      <c r="A13" s="1081"/>
      <c r="B13" s="2145" t="s">
        <v>2284</v>
      </c>
      <c r="C13" s="2145"/>
      <c r="D13" s="2145"/>
      <c r="E13" s="1100">
        <f>G83</f>
        <v>3472000</v>
      </c>
      <c r="G13" s="2149" t="s">
        <v>139</v>
      </c>
      <c r="H13" s="2149"/>
      <c r="I13" s="1099">
        <f>15%*(Application!AJ993&gt;0)</f>
        <v>0.15</v>
      </c>
      <c r="M13" s="1097"/>
    </row>
    <row r="14" spans="1:13" ht="15" customHeight="1">
      <c r="A14" s="1081"/>
      <c r="B14" s="2145" t="s">
        <v>2285</v>
      </c>
      <c r="C14" s="2145"/>
      <c r="D14" s="2145"/>
      <c r="E14" s="1095">
        <f>IF(G96&gt;G106,G96,0)</f>
        <v>0</v>
      </c>
      <c r="G14" s="1179" t="s">
        <v>2294</v>
      </c>
      <c r="H14" s="1179"/>
      <c r="I14" s="1099">
        <f>IF(Application!AJ1031&gt;0,10%,IF(Application!AJ1035&gt;0,5%,0))</f>
        <v>0</v>
      </c>
      <c r="M14" s="1097"/>
    </row>
    <row r="15" spans="1:13" ht="15" customHeight="1" thickBot="1">
      <c r="A15" s="1081"/>
      <c r="B15" s="2146" t="s">
        <v>2304</v>
      </c>
      <c r="C15" s="2146"/>
      <c r="D15" s="2146"/>
      <c r="E15" s="1151">
        <f>IF(E14&gt;0,0,G106)</f>
        <v>0</v>
      </c>
      <c r="G15" s="2143" t="s">
        <v>2295</v>
      </c>
      <c r="H15" s="2144"/>
      <c r="I15" s="1153">
        <f>G114</f>
        <v>-3.1454248366013071E-2</v>
      </c>
      <c r="M15" s="1097"/>
    </row>
    <row r="16" spans="1:13" ht="15" customHeight="1">
      <c r="A16" s="1081"/>
      <c r="B16" s="2147" t="s">
        <v>2240</v>
      </c>
      <c r="C16" s="2147"/>
      <c r="D16" s="2147"/>
      <c r="E16" s="1152">
        <f>SUM(E9:E15)</f>
        <v>21472696</v>
      </c>
      <c r="G16" s="1180" t="s">
        <v>2279</v>
      </c>
      <c r="H16" s="1180"/>
      <c r="I16" s="1154">
        <f>I11-((I11*I13)+(I11*I14)+(I11*I15))</f>
        <v>33780229.426225491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39</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1" t="s">
        <v>2297</v>
      </c>
      <c r="D20" s="2141" t="s">
        <v>2298</v>
      </c>
      <c r="E20" s="2141" t="s">
        <v>2299</v>
      </c>
      <c r="F20" s="2141" t="s">
        <v>2300</v>
      </c>
      <c r="G20" s="2141" t="s">
        <v>2296</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493.2</v>
      </c>
      <c r="Q20" s="1101" cm="1">
        <f t="array" ref="Q20">IF(Cdlac[[#This Row],[Quantity]]&gt;0,INDEX(HudFmrs,$P$18,Cdlac[[#This Row],[Bedrooms]]+1),"")</f>
        <v>1158</v>
      </c>
      <c r="R20" s="1101">
        <f>IF(Cdlac[[#This Row],[Quantity]]&gt;0,MAX(0,Cdlac[[#This Row],[Fair Market Rent]]-Cdlac[[#This Row],[Restricted Rent]]),"")</f>
        <v>664.8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2"/>
      <c r="D21" s="2142"/>
      <c r="E21" s="2142"/>
      <c r="F21" s="2142"/>
      <c r="G21" s="2142"/>
      <c r="H21" s="1108"/>
      <c r="I21" s="1107"/>
      <c r="L21" s="1079">
        <f>IFERROR(MIN(4,MATCH(Application!B719,UnitSizes,0)-1),"")</f>
        <v>2</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592.19999999999993</v>
      </c>
      <c r="Q21" s="1101" cm="1">
        <f t="array" ref="Q21">IF(Cdlac[[#This Row],[Quantity]]&gt;0,INDEX(HudFmrs,$P$18,Cdlac[[#This Row],[Bedrooms]]+1),"")</f>
        <v>1513</v>
      </c>
      <c r="R21" s="1101">
        <f>IF(Cdlac[[#This Row],[Quantity]]&gt;0,MAX(0,Cdlac[[#This Row],[Fair Market Rent]]-Cdlac[[#This Row],[Restricted Rent]]),"")</f>
        <v>920.80000000000007</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3</v>
      </c>
      <c r="N22" s="1109">
        <f>Application!AC720</f>
        <v>0.3</v>
      </c>
      <c r="O22" s="1109">
        <f>IF(Cdlac[[#This Row],[Quantity]]&gt;0,IF(Cdlac[[#This Row],[Federal]],30%,IF($G$36,40%,Cdlac[[#This Row],[iAMI]])),"")</f>
        <v>0.3</v>
      </c>
      <c r="P22" s="1101" cm="1">
        <f t="array" ref="P22">IF(Cdlac[[#This Row],[Quantity]]&gt;0,INDEX(TcacRents,$P$18,Cdlac[[#This Row],[Bedrooms]]+1)*Cdlac[[#This Row],[AMI]],"")</f>
        <v>684</v>
      </c>
      <c r="Q22" s="1101" cm="1">
        <f t="array" ref="Q22">IF(Cdlac[[#This Row],[Quantity]]&gt;0,INDEX(HudFmrs,$P$18,Cdlac[[#This Row],[Bedrooms]]+1),"")</f>
        <v>2150</v>
      </c>
      <c r="R22" s="1101">
        <f>IF(Cdlac[[#This Row],[Quantity]]&gt;0,MAX(0,Cdlac[[#This Row],[Fair Market Rent]]-Cdlac[[#This Row],[Restricted Rent]]),"")</f>
        <v>1466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6</v>
      </c>
      <c r="N23" s="1109">
        <f>Application!AC721</f>
        <v>0.4</v>
      </c>
      <c r="O23" s="1109">
        <f>IF(Cdlac[[#This Row],[Quantity]]&gt;0,IF(Cdlac[[#This Row],[Federal]],30%,IF($G$36,40%,Cdlac[[#This Row],[iAMI]])),"")</f>
        <v>0.4</v>
      </c>
      <c r="P23" s="1101" cm="1">
        <f t="array" ref="P23">IF(Cdlac[[#This Row],[Quantity]]&gt;0,INDEX(TcacRents,$P$18,Cdlac[[#This Row],[Bedrooms]]+1)*Cdlac[[#This Row],[AMI]],"")</f>
        <v>657.6</v>
      </c>
      <c r="Q23" s="1101" cm="1">
        <f t="array" ref="Q23">IF(Cdlac[[#This Row],[Quantity]]&gt;0,INDEX(HudFmrs,$P$18,Cdlac[[#This Row],[Bedrooms]]+1),"")</f>
        <v>1158</v>
      </c>
      <c r="R23" s="1101">
        <f>IF(Cdlac[[#This Row],[Quantity]]&gt;0,MAX(0,Cdlac[[#This Row],[Fair Market Rent]]-Cdlac[[#This Row],[Restricted Rent]]),"")</f>
        <v>500.4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50</v>
      </c>
      <c r="F24" s="1113">
        <f>SUM(E24:E26)-SUM(F25:F26)</f>
        <v>50</v>
      </c>
      <c r="G24" s="1110">
        <f>D24*F24</f>
        <v>62.5</v>
      </c>
      <c r="H24" s="1112"/>
      <c r="I24" s="1112"/>
      <c r="L24" s="1079">
        <f>IFERROR(MIN(4,MATCH(Application!B722,UnitSizes,0)-1),"")</f>
        <v>2</v>
      </c>
      <c r="M24" s="1101">
        <f>Application!G722</f>
        <v>13</v>
      </c>
      <c r="N24" s="1109">
        <f>Application!AC722</f>
        <v>0.4</v>
      </c>
      <c r="O24" s="1109">
        <f>IF(Cdlac[[#This Row],[Quantity]]&gt;0,IF(Cdlac[[#This Row],[Federal]],30%,IF($G$36,40%,Cdlac[[#This Row],[iAMI]])),"")</f>
        <v>0.4</v>
      </c>
      <c r="P24" s="1101" cm="1">
        <f t="array" ref="P24">IF(Cdlac[[#This Row],[Quantity]]&gt;0,INDEX(TcacRents,$P$18,Cdlac[[#This Row],[Bedrooms]]+1)*Cdlac[[#This Row],[AMI]],"")</f>
        <v>789.6</v>
      </c>
      <c r="Q24" s="1101" cm="1">
        <f t="array" ref="Q24">IF(Cdlac[[#This Row],[Quantity]]&gt;0,INDEX(HudFmrs,$P$18,Cdlac[[#This Row],[Bedrooms]]+1),"")</f>
        <v>1513</v>
      </c>
      <c r="R24" s="1101">
        <f>IF(Cdlac[[#This Row],[Quantity]]&gt;0,MAX(0,Cdlac[[#This Row],[Fair Market Rent]]-Cdlac[[#This Row],[Restricted Rent]]),"")</f>
        <v>723.4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3</v>
      </c>
      <c r="M25" s="1101">
        <f>Application!G723</f>
        <v>6</v>
      </c>
      <c r="N25" s="1109">
        <f>Application!AC723</f>
        <v>0.4</v>
      </c>
      <c r="O25" s="1109">
        <f>IF(Cdlac[[#This Row],[Quantity]]&gt;0,IF(Cdlac[[#This Row],[Federal]],30%,IF($G$36,40%,Cdlac[[#This Row],[iAMI]])),"")</f>
        <v>0.4</v>
      </c>
      <c r="P25" s="1101" cm="1">
        <f t="array" ref="P25">IF(Cdlac[[#This Row],[Quantity]]&gt;0,INDEX(TcacRents,$P$18,Cdlac[[#This Row],[Bedrooms]]+1)*Cdlac[[#This Row],[AMI]],"")</f>
        <v>912</v>
      </c>
      <c r="Q25" s="1101" cm="1">
        <f t="array" ref="Q25">IF(Cdlac[[#This Row],[Quantity]]&gt;0,INDEX(HudFmrs,$P$18,Cdlac[[#This Row],[Bedrooms]]+1),"")</f>
        <v>2150</v>
      </c>
      <c r="R25" s="1101">
        <f>IF(Cdlac[[#This Row],[Quantity]]&gt;0,MAX(0,Cdlac[[#This Row],[Fair Market Rent]]-Cdlac[[#This Row],[Restricted Rent]]),"")</f>
        <v>1238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9</v>
      </c>
      <c r="N26" s="1109">
        <f>Application!AC724</f>
        <v>0.5</v>
      </c>
      <c r="O26" s="1109">
        <f>IF(Cdlac[[#This Row],[Quantity]]&gt;0,IF(Cdlac[[#This Row],[Federal]],30%,IF($G$36,40%,Cdlac[[#This Row],[iAMI]])),"")</f>
        <v>0.5</v>
      </c>
      <c r="P26" s="1101" cm="1">
        <f t="array" ref="P26">IF(Cdlac[[#This Row],[Quantity]]&gt;0,INDEX(TcacRents,$P$18,Cdlac[[#This Row],[Bedrooms]]+1)*Cdlac[[#This Row],[AMI]],"")</f>
        <v>822</v>
      </c>
      <c r="Q26" s="1101" cm="1">
        <f t="array" ref="Q26">IF(Cdlac[[#This Row],[Quantity]]&gt;0,INDEX(HudFmrs,$P$18,Cdlac[[#This Row],[Bedrooms]]+1),"")</f>
        <v>1158</v>
      </c>
      <c r="R26" s="1101">
        <f>IF(Cdlac[[#This Row],[Quantity]]&gt;0,MAX(0,Cdlac[[#This Row],[Fair Market Rent]]-Cdlac[[#This Row],[Restricted Rent]]),"")</f>
        <v>336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1699</v>
      </c>
      <c r="D27" s="2158"/>
      <c r="E27" s="1129">
        <f>SUM(E22:E26)</f>
        <v>99</v>
      </c>
      <c r="F27" s="1129">
        <f>SUM(F22:F26)</f>
        <v>99</v>
      </c>
      <c r="G27" s="1130">
        <f>SUMPRODUCT(D22:D26,F22:F26)</f>
        <v>124</v>
      </c>
      <c r="H27" s="1112"/>
      <c r="I27" s="1112"/>
      <c r="L27" s="1079">
        <f>IFERROR(MIN(4,MATCH(Application!B725,UnitSizes,0)-1),"")</f>
        <v>2</v>
      </c>
      <c r="M27" s="1101">
        <f>Application!G725</f>
        <v>21</v>
      </c>
      <c r="N27" s="1109">
        <f>Application!AC725</f>
        <v>0.5</v>
      </c>
      <c r="O27" s="1109">
        <f>IF(Cdlac[[#This Row],[Quantity]]&gt;0,IF(Cdlac[[#This Row],[Federal]],30%,IF($G$36,40%,Cdlac[[#This Row],[iAMI]])),"")</f>
        <v>0.5</v>
      </c>
      <c r="P27" s="1101" cm="1">
        <f t="array" ref="P27">IF(Cdlac[[#This Row],[Quantity]]&gt;0,INDEX(TcacRents,$P$18,Cdlac[[#This Row],[Bedrooms]]+1)*Cdlac[[#This Row],[AMI]],"")</f>
        <v>987</v>
      </c>
      <c r="Q27" s="1101" cm="1">
        <f t="array" ref="Q27">IF(Cdlac[[#This Row],[Quantity]]&gt;0,INDEX(HudFmrs,$P$18,Cdlac[[#This Row],[Bedrooms]]+1),"")</f>
        <v>1513</v>
      </c>
      <c r="R27" s="1101">
        <f>IF(Cdlac[[#This Row],[Quantity]]&gt;0,MAX(0,Cdlac[[#This Row],[Fair Market Rent]]-Cdlac[[#This Row],[Restricted Rent]]),"")</f>
        <v>526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10</v>
      </c>
      <c r="N28" s="1109">
        <f>Application!AC726</f>
        <v>0.5</v>
      </c>
      <c r="O28" s="1109">
        <f>IF(Cdlac[[#This Row],[Quantity]]&gt;0,IF(Cdlac[[#This Row],[Federal]],30%,IF($G$36,40%,Cdlac[[#This Row],[iAMI]])),"")</f>
        <v>0.5</v>
      </c>
      <c r="P28" s="1101" cm="1">
        <f t="array" ref="P28">IF(Cdlac[[#This Row],[Quantity]]&gt;0,INDEX(TcacRents,$P$18,Cdlac[[#This Row],[Bedrooms]]+1)*Cdlac[[#This Row],[AMI]],"")</f>
        <v>1140</v>
      </c>
      <c r="Q28" s="1101" cm="1">
        <f t="array" ref="Q28">IF(Cdlac[[#This Row],[Quantity]]&gt;0,INDEX(HudFmrs,$P$18,Cdlac[[#This Row],[Bedrooms]]+1),"")</f>
        <v>2150</v>
      </c>
      <c r="R28" s="1101">
        <f>IF(Cdlac[[#This Row],[Quantity]]&gt;0,MAX(0,Cdlac[[#This Row],[Fair Market Rent]]-Cdlac[[#This Row],[Restricted Rent]]),"")</f>
        <v>1010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124</v>
      </c>
      <c r="H29" s="1112"/>
      <c r="I29" s="1112"/>
      <c r="L29" s="1079">
        <f>IFERROR(MIN(4,MATCH(Application!B727,UnitSizes,0)-1),"")</f>
        <v>1</v>
      </c>
      <c r="M29" s="1101">
        <f>Application!G727</f>
        <v>6</v>
      </c>
      <c r="N29" s="1109">
        <f>Application!AC727</f>
        <v>0.6</v>
      </c>
      <c r="O29" s="1109">
        <f>IF(Cdlac[[#This Row],[Quantity]]&gt;0,IF(Cdlac[[#This Row],[Federal]],30%,IF($G$36,40%,Cdlac[[#This Row],[iAMI]])),"")</f>
        <v>0.6</v>
      </c>
      <c r="P29" s="1101" cm="1">
        <f t="array" ref="P29">IF(Cdlac[[#This Row],[Quantity]]&gt;0,INDEX(TcacRents,$P$18,Cdlac[[#This Row],[Bedrooms]]+1)*Cdlac[[#This Row],[AMI]],"")</f>
        <v>986.4</v>
      </c>
      <c r="Q29" s="1101" cm="1">
        <f t="array" ref="Q29">IF(Cdlac[[#This Row],[Quantity]]&gt;0,INDEX(HudFmrs,$P$18,Cdlac[[#This Row],[Bedrooms]]+1),"")</f>
        <v>1158</v>
      </c>
      <c r="R29" s="1101">
        <f>IF(Cdlac[[#This Row],[Quantity]]&gt;0,MAX(0,Cdlac[[#This Row],[Fair Market Rent]]-Cdlac[[#This Row],[Restricted Rent]]),"")</f>
        <v>171.60000000000002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2</v>
      </c>
      <c r="M30" s="1101">
        <f>Application!G728</f>
        <v>11</v>
      </c>
      <c r="N30" s="1109">
        <f>Application!AC728</f>
        <v>0.6</v>
      </c>
      <c r="O30" s="1109">
        <f>IF(Cdlac[[#This Row],[Quantity]]&gt;0,IF(Cdlac[[#This Row],[Federal]],30%,IF($G$36,40%,Cdlac[[#This Row],[iAMI]])),"")</f>
        <v>0.6</v>
      </c>
      <c r="P30" s="1101" cm="1">
        <f t="array" ref="P30">IF(Cdlac[[#This Row],[Quantity]]&gt;0,INDEX(TcacRents,$P$18,Cdlac[[#This Row],[Bedrooms]]+1)*Cdlac[[#This Row],[AMI]],"")</f>
        <v>1184.3999999999999</v>
      </c>
      <c r="Q30" s="1101" cm="1">
        <f t="array" ref="Q30">IF(Cdlac[[#This Row],[Quantity]]&gt;0,INDEX(HudFmrs,$P$18,Cdlac[[#This Row],[Bedrooms]]+1),"")</f>
        <v>1513</v>
      </c>
      <c r="R30" s="1101">
        <f>IF(Cdlac[[#This Row],[Quantity]]&gt;0,MAX(0,Cdlac[[#This Row],[Fair Market Rent]]-Cdlac[[#This Row],[Restricted Rent]]),"")</f>
        <v>328.60000000000014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6200000</v>
      </c>
      <c r="H31" s="1112"/>
      <c r="I31" s="1112"/>
      <c r="L31" s="1079">
        <f>IFERROR(MIN(4,MATCH(Application!B729,UnitSizes,0)-1),"")</f>
        <v>3</v>
      </c>
      <c r="M31" s="1101">
        <f>Application!G729</f>
        <v>6</v>
      </c>
      <c r="N31" s="1109">
        <f>Application!AC729</f>
        <v>0.6</v>
      </c>
      <c r="O31" s="1109">
        <f>IF(Cdlac[[#This Row],[Quantity]]&gt;0,IF(Cdlac[[#This Row],[Federal]],30%,IF($G$36,40%,Cdlac[[#This Row],[iAMI]])),"")</f>
        <v>0.6</v>
      </c>
      <c r="P31" s="1101" cm="1">
        <f t="array" ref="P31">IF(Cdlac[[#This Row],[Quantity]]&gt;0,INDEX(TcacRents,$P$18,Cdlac[[#This Row],[Bedrooms]]+1)*Cdlac[[#This Row],[AMI]],"")</f>
        <v>1368</v>
      </c>
      <c r="Q31" s="1101" cm="1">
        <f t="array" ref="Q31">IF(Cdlac[[#This Row],[Quantity]]&gt;0,INDEX(HudFmrs,$P$18,Cdlac[[#This Row],[Bedrooms]]+1),"")</f>
        <v>2150</v>
      </c>
      <c r="R31" s="1101">
        <f>IF(Cdlac[[#This Row],[Quantity]]&gt;0,MAX(0,Cdlac[[#This Row],[Fair Market Rent]]-Cdlac[[#This Row],[Restricted Rent]]),"")</f>
        <v>782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0.47575757575757577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64337.2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11580696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49</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11</v>
      </c>
    </row>
    <row r="54" spans="2:14" ht="15" customHeight="1">
      <c r="E54" s="1159" t="s">
        <v>2307</v>
      </c>
      <c r="G54" s="1117">
        <f>ROUNDDOWN(E27*50%,0)</f>
        <v>49</v>
      </c>
    </row>
    <row r="55" spans="2:14" ht="15" customHeight="1">
      <c r="E55" s="1159"/>
      <c r="G55" s="1117"/>
    </row>
    <row r="56" spans="2:14" ht="15" customHeight="1">
      <c r="E56" s="1159" t="s">
        <v>2258</v>
      </c>
      <c r="G56" s="1156">
        <f>MIN(G53:G54)</f>
        <v>11</v>
      </c>
    </row>
    <row r="57" spans="2:14" ht="15" customHeight="1">
      <c r="E57" s="1159" t="s">
        <v>2248</v>
      </c>
      <c r="F57" s="1155" t="s">
        <v>2305</v>
      </c>
      <c r="G57" s="1166">
        <v>20000</v>
      </c>
    </row>
    <row r="58" spans="2:14" ht="15" customHeight="1">
      <c r="E58" s="1160" t="s">
        <v>2287</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4</v>
      </c>
      <c r="L62" s="1169" t="str">
        <f>'Points System'!H627</f>
        <v>(i)</v>
      </c>
      <c r="M62" s="2159" t="s">
        <v>1517</v>
      </c>
      <c r="N62" s="2160"/>
    </row>
    <row r="63" spans="2:14" ht="15" customHeight="1">
      <c r="E63" s="1124" t="s">
        <v>2248</v>
      </c>
      <c r="F63" s="1155" t="s">
        <v>2305</v>
      </c>
      <c r="G63" s="1114">
        <v>4000</v>
      </c>
      <c r="L63" s="1170" t="str">
        <f>'Points System'!H639</f>
        <v>N/A</v>
      </c>
      <c r="M63" s="2161" t="s">
        <v>2262</v>
      </c>
      <c r="N63" s="2162"/>
    </row>
    <row r="64" spans="2:14" ht="15" customHeight="1">
      <c r="E64" s="1124" t="s">
        <v>2309</v>
      </c>
      <c r="F64" s="1155" t="s">
        <v>2305</v>
      </c>
      <c r="G64" s="1168">
        <f>G27</f>
        <v>124</v>
      </c>
      <c r="L64" s="1170" t="str">
        <f>'Points System'!H674</f>
        <v>(i)</v>
      </c>
      <c r="M64" s="2161" t="s">
        <v>2263</v>
      </c>
      <c r="N64" s="2162"/>
    </row>
    <row r="65" spans="2:14" ht="15" customHeight="1">
      <c r="E65" s="1160" t="s">
        <v>2267</v>
      </c>
      <c r="F65" s="1081"/>
      <c r="G65" s="1165">
        <f>G62*G63*G64</f>
        <v>1984000</v>
      </c>
      <c r="L65" s="1170" t="str">
        <f>IF(OR('Points System'!H698="(ii)",'Points System'!H698="(i)"),"(i)","N/A")</f>
        <v>N/A</v>
      </c>
      <c r="M65" s="2161" t="s">
        <v>2264</v>
      </c>
      <c r="N65" s="2162"/>
    </row>
    <row r="66" spans="2:14" ht="15" customHeight="1">
      <c r="C66" s="1115"/>
      <c r="G66" s="1156"/>
      <c r="L66" s="1171" t="str">
        <f>'Points System'!H712</f>
        <v>N/A</v>
      </c>
      <c r="M66" s="2161" t="s">
        <v>1543</v>
      </c>
      <c r="N66" s="2162"/>
    </row>
    <row r="67" spans="2:14" ht="15" customHeight="1">
      <c r="E67" s="1124" t="s">
        <v>2310</v>
      </c>
      <c r="G67" s="1168">
        <f>COUNTIFS(L62:L69,"(i)")</f>
        <v>3</v>
      </c>
      <c r="L67" s="1170" t="str">
        <f>'Points System'!H724</f>
        <v>N/A</v>
      </c>
      <c r="M67" s="2161" t="s">
        <v>2265</v>
      </c>
      <c r="N67" s="2162"/>
    </row>
    <row r="68" spans="2:14" ht="15" customHeight="1">
      <c r="E68" s="1124" t="s">
        <v>2248</v>
      </c>
      <c r="F68" s="1155" t="s">
        <v>2305</v>
      </c>
      <c r="G68" s="1166">
        <v>4000</v>
      </c>
      <c r="L68" s="1170" t="str">
        <f>'Points System'!H740</f>
        <v>N/A</v>
      </c>
      <c r="M68" s="2161" t="s">
        <v>2266</v>
      </c>
      <c r="N68" s="2162"/>
    </row>
    <row r="69" spans="2:14" ht="15" customHeight="1" thickBot="1">
      <c r="E69" s="1160" t="s">
        <v>2268</v>
      </c>
      <c r="F69" s="1081"/>
      <c r="G69" s="1165">
        <f>G64*G67*G68</f>
        <v>1488000</v>
      </c>
      <c r="L69" s="1172" t="str">
        <f>'Points System'!H752</f>
        <v>(i)</v>
      </c>
      <c r="M69" s="2167" t="s">
        <v>1546</v>
      </c>
      <c r="N69" s="216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124</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3472000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69" t="s">
        <v>2275</v>
      </c>
      <c r="M87" s="2170"/>
      <c r="N87" s="1173">
        <v>30000</v>
      </c>
    </row>
    <row r="88" spans="2:14" ht="15" customHeight="1">
      <c r="C88" s="1115" t="s">
        <v>2292</v>
      </c>
      <c r="G88" s="1119" t="str">
        <f>IF(Application!D211="Large Family","Yes","No")</f>
        <v>Yes</v>
      </c>
      <c r="L88" s="2163" t="s">
        <v>2239</v>
      </c>
      <c r="M88" s="2164"/>
      <c r="N88" s="1174">
        <v>20000</v>
      </c>
    </row>
    <row r="89" spans="2:14" ht="15" customHeight="1" thickBot="1">
      <c r="C89" s="1115" t="s">
        <v>2273</v>
      </c>
      <c r="G89" s="1078"/>
      <c r="L89" s="2165" t="s">
        <v>2276</v>
      </c>
      <c r="M89" s="2166"/>
      <c r="N89" s="1175">
        <v>10000</v>
      </c>
    </row>
    <row r="90" spans="2:14" ht="15" customHeight="1">
      <c r="C90" s="1115" t="s">
        <v>2274</v>
      </c>
      <c r="G90" s="1079" t="str">
        <f>Application!T193</f>
        <v>High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20000</v>
      </c>
    </row>
    <row r="95" spans="2:14" ht="15" customHeight="1">
      <c r="E95" s="1124" t="str">
        <f>E64</f>
        <v>Bedroom-Adjusted Low-Income Units</v>
      </c>
      <c r="F95" s="1155" t="s">
        <v>2305</v>
      </c>
      <c r="G95" s="1156">
        <f>G27</f>
        <v>124</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124</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 Joaquin</v>
      </c>
    </row>
    <row r="111" spans="2:9" ht="15" customHeight="1">
      <c r="E111" s="1124"/>
      <c r="G111" s="1116"/>
    </row>
    <row r="112" spans="2:9" ht="15" customHeight="1">
      <c r="E112" s="1124" t="str">
        <f>"2-Bedroom "&amp;G110&amp;" County Basis Limit"</f>
        <v>2-Bedroom San Joaquin County Basis Limit</v>
      </c>
      <c r="G112" s="1116">
        <f>Application!R987</f>
        <v>428000</v>
      </c>
    </row>
    <row r="113" spans="4:9" ht="15" customHeight="1">
      <c r="E113" s="1124" t="s">
        <v>2313</v>
      </c>
      <c r="G113" s="1116">
        <f>MEDIAN((Application!BR806:BR863))</f>
        <v>489600</v>
      </c>
    </row>
    <row r="114" spans="4:9" ht="15" customHeight="1">
      <c r="D114" s="1081"/>
      <c r="E114" s="1160" t="s">
        <v>2315</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Miller</cp:lastModifiedBy>
  <cp:lastPrinted>2024-04-18T19:53:06Z</cp:lastPrinted>
  <dcterms:created xsi:type="dcterms:W3CDTF">2007-12-27T18:26:28Z</dcterms:created>
  <dcterms:modified xsi:type="dcterms:W3CDTF">2024-04-19T23:46:47Z</dcterms:modified>
</cp:coreProperties>
</file>