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Family\Funding\TCAC\2024_TCAC 4% Application\"/>
    </mc:Choice>
  </mc:AlternateContent>
  <xr:revisionPtr revIDLastSave="0" documentId="13_ncr:1_{AF31A63E-F68A-4F79-AA88-AF7A60B04010}" xr6:coauthVersionLast="47" xr6:coauthVersionMax="47" xr10:uidLastSave="{00000000-0000-0000-0000-000000000000}"/>
  <bookViews>
    <workbookView xWindow="-12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6" i="20" l="1"/>
  <c r="T215" i="20"/>
  <c r="N216" i="20"/>
  <c r="N215" i="20"/>
  <c r="T214" i="20"/>
  <c r="N214" i="20"/>
  <c r="N213" i="20"/>
  <c r="T213" i="20"/>
  <c r="AB71" i="15"/>
  <c r="E42" i="7" l="1"/>
  <c r="E41" i="7"/>
  <c r="S69" i="4"/>
  <c r="S65" i="4"/>
  <c r="S51" i="4"/>
  <c r="S50" i="4"/>
  <c r="E103" i="4" l="1"/>
  <c r="E102" i="4"/>
  <c r="E101" i="4"/>
  <c r="E100" i="4"/>
  <c r="E95" i="4"/>
  <c r="E94" i="4"/>
  <c r="E91" i="4"/>
  <c r="E88" i="4"/>
  <c r="E87" i="4"/>
  <c r="E86" i="4"/>
  <c r="E85" i="4"/>
  <c r="E74" i="4"/>
  <c r="E73" i="4"/>
  <c r="E72" i="4"/>
  <c r="E68" i="4"/>
  <c r="E67" i="4"/>
  <c r="E66" i="4"/>
  <c r="E60" i="4"/>
  <c r="E59" i="4"/>
  <c r="E57" i="4"/>
  <c r="E50" i="4"/>
  <c r="E48" i="4"/>
  <c r="E47" i="4"/>
  <c r="E43" i="4"/>
  <c r="E9" i="4"/>
  <c r="E7" i="4"/>
  <c r="E5" i="4"/>
  <c r="H30" i="4"/>
  <c r="C93" i="4"/>
  <c r="E93" i="4" s="1"/>
  <c r="C36" i="4"/>
  <c r="E36" i="4" s="1"/>
  <c r="C92" i="4"/>
  <c r="E92" i="4" s="1"/>
  <c r="C90" i="4"/>
  <c r="E90" i="4" s="1"/>
  <c r="C89" i="4"/>
  <c r="E89" i="4" s="1"/>
  <c r="C88" i="4"/>
  <c r="C86" i="4"/>
  <c r="C85" i="4"/>
  <c r="C84" i="4"/>
  <c r="E84" i="4" s="1"/>
  <c r="C80" i="4"/>
  <c r="E80" i="4" s="1"/>
  <c r="C79" i="4"/>
  <c r="E79" i="4" s="1"/>
  <c r="C76" i="4"/>
  <c r="E76" i="4" s="1"/>
  <c r="C75" i="4"/>
  <c r="E75" i="4" s="1"/>
  <c r="C69" i="4"/>
  <c r="E69" i="4" s="1"/>
  <c r="C65" i="4"/>
  <c r="E65" i="4" s="1"/>
  <c r="C61" i="4"/>
  <c r="E61" i="4" s="1"/>
  <c r="C58" i="4"/>
  <c r="E58" i="4" s="1"/>
  <c r="C56" i="4"/>
  <c r="E56" i="4" s="1"/>
  <c r="C53" i="4"/>
  <c r="E53" i="4" s="1"/>
  <c r="C52" i="4"/>
  <c r="E52" i="4" s="1"/>
  <c r="C51" i="4"/>
  <c r="E51" i="4" s="1"/>
  <c r="C50" i="4"/>
  <c r="C43" i="4"/>
  <c r="C41" i="4"/>
  <c r="E41" i="4" s="1"/>
  <c r="C40" i="4"/>
  <c r="E40" i="4" s="1"/>
  <c r="C37" i="4"/>
  <c r="E37" i="4" s="1"/>
  <c r="C35" i="4"/>
  <c r="E35" i="4" s="1"/>
  <c r="C32" i="4"/>
  <c r="C33" i="4" s="1"/>
  <c r="E33" i="4" s="1"/>
  <c r="C31" i="4"/>
  <c r="E31" i="4" s="1"/>
  <c r="C29" i="4"/>
  <c r="C10" i="4"/>
  <c r="C6" i="4"/>
  <c r="C4" i="4"/>
  <c r="F4" i="4" s="1"/>
  <c r="E4" i="4" s="1"/>
  <c r="F6" i="4" l="1"/>
  <c r="E6" i="4" s="1"/>
  <c r="F10" i="4"/>
  <c r="E10" i="4" s="1"/>
  <c r="E32" i="4"/>
  <c r="W870" i="3"/>
  <c r="S17" i="4"/>
  <c r="AF1026" i="3"/>
  <c r="AC893" i="3"/>
  <c r="AC886" i="3"/>
  <c r="W871" i="3"/>
  <c r="AC888" i="3"/>
  <c r="W874" i="3"/>
  <c r="AC891" i="3"/>
  <c r="W863" i="3"/>
  <c r="W861" i="3"/>
  <c r="W869" i="3"/>
  <c r="W868" i="3"/>
  <c r="W867" i="3"/>
  <c r="W866" i="3"/>
  <c r="W865" i="3"/>
  <c r="W859" i="3"/>
  <c r="W857" i="3"/>
  <c r="W854" i="3"/>
  <c r="W852" i="3"/>
  <c r="W853" i="3"/>
  <c r="W849" i="3"/>
  <c r="W846" i="3"/>
  <c r="W845" i="3"/>
  <c r="W844" i="3"/>
  <c r="W843" i="3"/>
  <c r="W842" i="3"/>
  <c r="AF629" i="3"/>
  <c r="AF628" i="3"/>
  <c r="W627" i="3"/>
  <c r="AM556" i="3"/>
  <c r="W554" i="3"/>
  <c r="W555" i="3" s="1"/>
  <c r="AG448"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I22" i="8"/>
  <c r="J22" i="8" s="1"/>
  <c r="J20" i="8"/>
  <c r="I20" i="8"/>
  <c r="J19" i="8"/>
  <c r="I19" i="8"/>
  <c r="J17" i="8"/>
  <c r="I17" i="8"/>
  <c r="J15" i="8"/>
  <c r="I15" i="8"/>
  <c r="J13" i="8"/>
  <c r="I13" i="8"/>
  <c r="J12" i="8"/>
  <c r="I12" i="8"/>
  <c r="J11" i="8"/>
  <c r="I11" i="8"/>
  <c r="J9" i="8"/>
  <c r="I9" i="8"/>
  <c r="J8" i="8"/>
  <c r="I8" i="8"/>
  <c r="J7" i="8"/>
  <c r="I7" i="8"/>
  <c r="J6" i="8"/>
  <c r="I6" i="8"/>
  <c r="J4" i="8"/>
  <c r="I4" i="8"/>
  <c r="AH750" i="3"/>
  <c r="AH749" i="3"/>
  <c r="AH748" i="3"/>
  <c r="AH747" i="3"/>
  <c r="AH746" i="3"/>
  <c r="AH745" i="3"/>
  <c r="AH744" i="3"/>
  <c r="AH743" i="3"/>
  <c r="AH741" i="3"/>
  <c r="AH740" i="3"/>
  <c r="AH73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BS600" i="3"/>
  <c r="BS601" i="3"/>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BX603" i="3"/>
  <c r="BX604" i="3"/>
  <c r="BX605" i="3"/>
  <c r="BX606" i="3"/>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CC608" i="3"/>
  <c r="CC609" i="3"/>
  <c r="CC610" i="3"/>
  <c r="CC611" i="3"/>
  <c r="CC612" i="3"/>
  <c r="CC613" i="3"/>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CH615" i="3"/>
  <c r="CH616" i="3"/>
  <c r="CH617" i="3"/>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6" i="8" s="1"/>
  <c r="G102" i="21"/>
  <c r="G88" i="21"/>
  <c r="G92" i="21" s="1"/>
  <c r="B10" i="8"/>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C91" i="11"/>
  <c r="D91" i="11" s="1"/>
  <c r="C92" i="11"/>
  <c r="C93" i="11"/>
  <c r="D93" i="11" s="1"/>
  <c r="C94" i="11"/>
  <c r="D94" i="11" s="1"/>
  <c r="C95" i="11"/>
  <c r="C96" i="11"/>
  <c r="B85" i="11"/>
  <c r="D85" i="11" s="1"/>
  <c r="B86" i="11"/>
  <c r="B87" i="11"/>
  <c r="B88" i="11"/>
  <c r="B89" i="11"/>
  <c r="B90" i="11"/>
  <c r="B91" i="11"/>
  <c r="B92" i="11"/>
  <c r="D92" i="11" s="1"/>
  <c r="B93" i="11"/>
  <c r="B94" i="11"/>
  <c r="B95" i="11"/>
  <c r="B96" i="11"/>
  <c r="A70" i="11"/>
  <c r="C67" i="11"/>
  <c r="C68" i="11"/>
  <c r="C69" i="11"/>
  <c r="C70" i="11"/>
  <c r="D70" i="11" s="1"/>
  <c r="B67" i="11"/>
  <c r="B68" i="11"/>
  <c r="B69" i="11"/>
  <c r="B70" i="11"/>
  <c r="A62" i="11"/>
  <c r="A54" i="11"/>
  <c r="A38" i="11"/>
  <c r="A26" i="11"/>
  <c r="C32" i="11"/>
  <c r="C33" i="11"/>
  <c r="C34" i="11"/>
  <c r="C36" i="11"/>
  <c r="C37" i="11"/>
  <c r="C38" i="11"/>
  <c r="D38" i="11" s="1"/>
  <c r="B32" i="11"/>
  <c r="D32" i="11" s="1"/>
  <c r="B33" i="11"/>
  <c r="B34"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D80" i="11" s="1"/>
  <c r="C81" i="11"/>
  <c r="B80" i="11"/>
  <c r="B81" i="11"/>
  <c r="D81" i="11" s="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B15" i="8"/>
  <c r="G15" i="8" s="1"/>
  <c r="B16" i="8"/>
  <c r="B17" i="8"/>
  <c r="G17" i="8" s="1"/>
  <c r="B18" i="8"/>
  <c r="B19" i="8"/>
  <c r="G19" i="8" s="1"/>
  <c r="B20" i="8"/>
  <c r="G20" i="8" s="1"/>
  <c r="B21" i="8"/>
  <c r="B22" i="8"/>
  <c r="G22" i="8" s="1"/>
  <c r="B23" i="8"/>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65" i="13"/>
  <c r="E51" i="13"/>
  <c r="E50" i="13"/>
  <c r="E48" i="13"/>
  <c r="E47" i="13"/>
  <c r="E41" i="13"/>
  <c r="E40" i="13"/>
  <c r="E37" i="13"/>
  <c r="E35"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S93" i="4" s="1"/>
  <c r="E93" i="13" s="1"/>
  <c r="R92" i="4"/>
  <c r="S92" i="4" s="1"/>
  <c r="R90" i="4"/>
  <c r="R89" i="4"/>
  <c r="S89" i="4" s="1"/>
  <c r="R88" i="4"/>
  <c r="R87" i="4"/>
  <c r="R86" i="4"/>
  <c r="S86" i="4" s="1"/>
  <c r="E86" i="13" s="1"/>
  <c r="R85" i="4"/>
  <c r="S85" i="4" s="1"/>
  <c r="E85" i="13" s="1"/>
  <c r="R76" i="4"/>
  <c r="R75" i="4"/>
  <c r="R77" i="4" s="1"/>
  <c r="R72" i="4"/>
  <c r="R73" i="4"/>
  <c r="R74" i="4"/>
  <c r="R69" i="4"/>
  <c r="R65" i="4"/>
  <c r="R61" i="4"/>
  <c r="R60" i="4"/>
  <c r="R59" i="4"/>
  <c r="R58" i="4"/>
  <c r="R57" i="4"/>
  <c r="R56" i="4"/>
  <c r="R62" i="4" s="1"/>
  <c r="R53" i="4"/>
  <c r="S53" i="4" s="1"/>
  <c r="E53" i="13" s="1"/>
  <c r="R52" i="4"/>
  <c r="S52" i="4" s="1"/>
  <c r="E52" i="13" s="1"/>
  <c r="R51" i="4"/>
  <c r="R50" i="4"/>
  <c r="R48" i="4"/>
  <c r="R47" i="4"/>
  <c r="R43" i="4"/>
  <c r="S43" i="4" s="1"/>
  <c r="E43" i="13" s="1"/>
  <c r="R41" i="4"/>
  <c r="S41" i="4" s="1"/>
  <c r="R40" i="4"/>
  <c r="S40" i="4" s="1"/>
  <c r="S42" i="4" s="1"/>
  <c r="E42" i="13" s="1"/>
  <c r="R37" i="4"/>
  <c r="S37" i="4" s="1"/>
  <c r="R35" i="4"/>
  <c r="S35" i="4" s="1"/>
  <c r="R33" i="4"/>
  <c r="S33" i="4" s="1"/>
  <c r="E33" i="13" s="1"/>
  <c r="R32" i="4"/>
  <c r="S32" i="4" s="1"/>
  <c r="E32" i="13" s="1"/>
  <c r="R31" i="4"/>
  <c r="S31" i="4" s="1"/>
  <c r="E31" i="13" s="1"/>
  <c r="R27" i="4"/>
  <c r="R25" i="4"/>
  <c r="R23" i="4"/>
  <c r="R22" i="4"/>
  <c r="R21" i="4"/>
  <c r="R20" i="4"/>
  <c r="R19" i="4"/>
  <c r="R18" i="4"/>
  <c r="R26" i="4" s="1"/>
  <c r="R17" i="4"/>
  <c r="R15" i="4"/>
  <c r="R14" i="4"/>
  <c r="R13" i="4"/>
  <c r="R9" i="4"/>
  <c r="R7" i="4"/>
  <c r="R6" i="4"/>
  <c r="R5" i="4"/>
  <c r="R4" i="4"/>
  <c r="B6" i="11"/>
  <c r="C6" i="11"/>
  <c r="B7" i="11"/>
  <c r="C7" i="11"/>
  <c r="D7" i="11" s="1"/>
  <c r="C8" i="11"/>
  <c r="B8" i="11"/>
  <c r="B10" i="11"/>
  <c r="B11" i="11"/>
  <c r="B12" i="11" s="1"/>
  <c r="C10" i="11"/>
  <c r="C11" i="11"/>
  <c r="C12" i="11" s="1"/>
  <c r="B14" i="11"/>
  <c r="C14" i="11"/>
  <c r="B15" i="11"/>
  <c r="C15" i="11"/>
  <c r="B16" i="11"/>
  <c r="C16" i="11"/>
  <c r="B18" i="11"/>
  <c r="C18" i="11"/>
  <c r="D18" i="11" s="1"/>
  <c r="B19" i="11"/>
  <c r="C19" i="11"/>
  <c r="B20" i="11"/>
  <c r="C20" i="11"/>
  <c r="B21" i="11"/>
  <c r="C21" i="11"/>
  <c r="B22" i="11"/>
  <c r="C22" i="11"/>
  <c r="B23" i="11"/>
  <c r="C23" i="11"/>
  <c r="B24" i="11"/>
  <c r="B28" i="11"/>
  <c r="C28" i="11"/>
  <c r="B30" i="11"/>
  <c r="C30" i="11"/>
  <c r="D30" i="11"/>
  <c r="B41" i="11"/>
  <c r="C41" i="11"/>
  <c r="C42" i="11"/>
  <c r="B42" i="11"/>
  <c r="B44" i="11"/>
  <c r="D44" i="11" s="1"/>
  <c r="C44" i="11"/>
  <c r="B48" i="11"/>
  <c r="B49" i="11"/>
  <c r="B51" i="11"/>
  <c r="B52" i="11"/>
  <c r="B53" i="11"/>
  <c r="C48" i="11"/>
  <c r="C49" i="11"/>
  <c r="C51" i="11"/>
  <c r="D51" i="11" s="1"/>
  <c r="C52" i="11"/>
  <c r="D52" i="11" s="1"/>
  <c r="C53" i="11"/>
  <c r="B57" i="11"/>
  <c r="C57" i="11"/>
  <c r="D57" i="11" s="1"/>
  <c r="B58" i="11"/>
  <c r="C58" i="11"/>
  <c r="B59" i="11"/>
  <c r="C59" i="11"/>
  <c r="B60" i="11"/>
  <c r="C60" i="11"/>
  <c r="B61" i="11"/>
  <c r="C61" i="11"/>
  <c r="B62" i="11"/>
  <c r="C62" i="11"/>
  <c r="B66" i="11"/>
  <c r="C66" i="11"/>
  <c r="B73" i="11"/>
  <c r="C73" i="11"/>
  <c r="B74" i="11"/>
  <c r="C74" i="11"/>
  <c r="B75" i="11"/>
  <c r="C75" i="11"/>
  <c r="B76" i="11"/>
  <c r="C76" i="11"/>
  <c r="B77" i="11"/>
  <c r="C77" i="11"/>
  <c r="D77" i="11" s="1"/>
  <c r="A4" i="8"/>
  <c r="A5" i="8"/>
  <c r="A6" i="8"/>
  <c r="A7" i="8"/>
  <c r="A8" i="8"/>
  <c r="A9" i="8"/>
  <c r="A10" i="8"/>
  <c r="A11" i="8"/>
  <c r="A12" i="8"/>
  <c r="A13" i="8"/>
  <c r="A14" i="8"/>
  <c r="A15" i="8"/>
  <c r="A16" i="8"/>
  <c r="A17" i="8"/>
  <c r="A18" i="8"/>
  <c r="A19" i="8"/>
  <c r="A20" i="8"/>
  <c r="A21" i="8"/>
  <c r="A22" i="8"/>
  <c r="A23" i="8"/>
  <c r="A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13" s="1"/>
  <c r="B26" i="13"/>
  <c r="C62" i="4"/>
  <c r="B62" i="13" s="1"/>
  <c r="C77" i="4"/>
  <c r="B77" i="4" s="1"/>
  <c r="D8" i="4"/>
  <c r="D11" i="4"/>
  <c r="D26" i="4"/>
  <c r="D63" i="4" s="1"/>
  <c r="D97" i="4" s="1"/>
  <c r="D105" i="4" s="1"/>
  <c r="D38" i="4"/>
  <c r="D42" i="4"/>
  <c r="D54" i="4"/>
  <c r="D62" i="4"/>
  <c r="D77" i="4"/>
  <c r="D96" i="4"/>
  <c r="D104" i="4"/>
  <c r="F2" i="4"/>
  <c r="G2" i="4"/>
  <c r="H2" i="4"/>
  <c r="I2" i="4"/>
  <c r="J2" i="4"/>
  <c r="K2" i="4"/>
  <c r="L2" i="4"/>
  <c r="M2" i="4"/>
  <c r="N2" i="4"/>
  <c r="O2" i="4"/>
  <c r="P2" i="4"/>
  <c r="Q2"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O63" i="4" s="1"/>
  <c r="O97" i="4" s="1"/>
  <c r="O105" i="4" s="1"/>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G108" i="4"/>
  <c r="H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B81" i="13"/>
  <c r="J63" i="13"/>
  <c r="J97" i="13"/>
  <c r="J105" i="13"/>
  <c r="J107" i="13"/>
  <c r="L12" i="4"/>
  <c r="D48" i="11"/>
  <c r="I12" i="4"/>
  <c r="G12" i="4"/>
  <c r="D6" i="11"/>
  <c r="L63" i="4"/>
  <c r="L97" i="4"/>
  <c r="L105" i="4"/>
  <c r="Q12" i="4"/>
  <c r="D10" i="11"/>
  <c r="G63" i="13"/>
  <c r="G97" i="13"/>
  <c r="G105" i="13"/>
  <c r="G107" i="13"/>
  <c r="D61" i="11"/>
  <c r="D20" i="11"/>
  <c r="D8" i="11"/>
  <c r="D102" i="11"/>
  <c r="K12" i="4"/>
  <c r="C12" i="13"/>
  <c r="J12" i="4"/>
  <c r="D22" i="11"/>
  <c r="O12" i="4"/>
  <c r="I63" i="4"/>
  <c r="I97" i="4"/>
  <c r="D95" i="11"/>
  <c r="D25" i="11"/>
  <c r="B82" i="11"/>
  <c r="D12" i="4"/>
  <c r="H12" i="4"/>
  <c r="D23" i="11"/>
  <c r="D19" i="11"/>
  <c r="D73" i="11"/>
  <c r="D15" i="11"/>
  <c r="D63" i="13"/>
  <c r="D97" i="13"/>
  <c r="D105" i="13"/>
  <c r="D14" i="11"/>
  <c r="Q63" i="4"/>
  <c r="Q97" i="4" s="1"/>
  <c r="Q105" i="4" s="1"/>
  <c r="N63" i="4"/>
  <c r="N97" i="4"/>
  <c r="N105" i="4"/>
  <c r="N12" i="4"/>
  <c r="H63" i="4"/>
  <c r="H97" i="4"/>
  <c r="H105" i="4"/>
  <c r="D60" i="11"/>
  <c r="M12" i="4"/>
  <c r="D74" i="11"/>
  <c r="R42" i="4"/>
  <c r="P63" i="4"/>
  <c r="P97" i="4"/>
  <c r="P105" i="4" s="1"/>
  <c r="D12" i="13"/>
  <c r="D58" i="11"/>
  <c r="D24" i="11"/>
  <c r="D101" i="11"/>
  <c r="C63" i="13"/>
  <c r="C97" i="13"/>
  <c r="C105" i="13"/>
  <c r="D75" i="11"/>
  <c r="D28" i="11"/>
  <c r="D103" i="11"/>
  <c r="D88" i="11"/>
  <c r="D21" i="11"/>
  <c r="D16" i="11"/>
  <c r="F63" i="13"/>
  <c r="F97" i="13"/>
  <c r="F105" i="13"/>
  <c r="F107" i="13"/>
  <c r="AD199" i="20"/>
  <c r="M63" i="4"/>
  <c r="M97" i="4"/>
  <c r="M105" i="4"/>
  <c r="K63" i="4"/>
  <c r="K97" i="4"/>
  <c r="K105" i="4"/>
  <c r="D104" i="11"/>
  <c r="T63" i="4"/>
  <c r="T97" i="4"/>
  <c r="H63" i="13"/>
  <c r="T105" i="4"/>
  <c r="H97" i="13"/>
  <c r="D96" i="11"/>
  <c r="T107" i="4"/>
  <c r="H105" i="13"/>
  <c r="H107" i="13"/>
  <c r="AD11" i="15"/>
  <c r="R70" i="4" l="1"/>
  <c r="E12" i="4"/>
  <c r="D62" i="11"/>
  <c r="D90" i="11"/>
  <c r="D42" i="11"/>
  <c r="D36" i="11"/>
  <c r="D54" i="11"/>
  <c r="B11" i="4"/>
  <c r="D76" i="11"/>
  <c r="C43" i="11"/>
  <c r="R11" i="4"/>
  <c r="S10" i="4"/>
  <c r="E10" i="13" s="1"/>
  <c r="B43" i="11"/>
  <c r="S96" i="4"/>
  <c r="E96" i="13" s="1"/>
  <c r="C71" i="11"/>
  <c r="D34" i="11"/>
  <c r="D66" i="11"/>
  <c r="D33" i="11"/>
  <c r="D53" i="11"/>
  <c r="D86" i="11"/>
  <c r="B70" i="4"/>
  <c r="C63" i="11"/>
  <c r="C78" i="11"/>
  <c r="B78" i="11"/>
  <c r="B63" i="11"/>
  <c r="R81" i="4"/>
  <c r="S79" i="4"/>
  <c r="C82" i="11"/>
  <c r="D82" i="11" s="1"/>
  <c r="R8" i="4"/>
  <c r="R12" i="4" s="1"/>
  <c r="F12" i="4"/>
  <c r="B71" i="11"/>
  <c r="D71" i="11" s="1"/>
  <c r="N186" i="27"/>
  <c r="B77" i="13"/>
  <c r="B42" i="4"/>
  <c r="B62" i="4"/>
  <c r="D59" i="11"/>
  <c r="D41" i="11"/>
  <c r="D12" i="11"/>
  <c r="D11" i="11"/>
  <c r="C27" i="11"/>
  <c r="B26" i="4"/>
  <c r="Q30" i="21" a="1"/>
  <c r="Q30" i="21" s="1"/>
  <c r="G67" i="21"/>
  <c r="AA29" i="7"/>
  <c r="R44" i="21"/>
  <c r="O29" i="7"/>
  <c r="AY1002" i="3"/>
  <c r="I1047"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Y7" i="15"/>
  <c r="AI7" i="15"/>
  <c r="DX597" i="3"/>
  <c r="BN632" i="3"/>
  <c r="DX669" i="3" s="1"/>
  <c r="CS632" i="3"/>
  <c r="BG632" i="3"/>
  <c r="X1047" i="3" s="1"/>
  <c r="AY1004" i="3" s="1"/>
  <c r="AG29" i="7"/>
  <c r="K29" i="7"/>
  <c r="S29" i="7"/>
  <c r="AK172" i="20"/>
  <c r="AP355" i="20"/>
  <c r="AQ355" i="20" s="1"/>
  <c r="AS349" i="20" s="1"/>
  <c r="T805" i="20"/>
  <c r="AO17" i="20"/>
  <c r="AO36" i="20" s="1"/>
  <c r="AK56" i="20" s="1"/>
  <c r="T797" i="20"/>
  <c r="AF797" i="20" s="1"/>
  <c r="AK783" i="20"/>
  <c r="T808" i="20" s="1"/>
  <c r="AF808" i="20" s="1"/>
  <c r="T44" i="21"/>
  <c r="P44" i="21" a="1"/>
  <c r="P44" i="21" s="1"/>
  <c r="Q21" i="21" a="1"/>
  <c r="Q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T7" i="15"/>
  <c r="AC29" i="7"/>
  <c r="M29" i="7"/>
  <c r="Q44" i="21" a="1"/>
  <c r="Q44" i="21" s="1"/>
  <c r="G29" i="7"/>
  <c r="Q29" i="7"/>
  <c r="AE29" i="7"/>
  <c r="S28" i="21"/>
  <c r="W29" i="7"/>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T40" i="21"/>
  <c r="AC883" i="3"/>
  <c r="BG243" i="3"/>
  <c r="BO245" i="3" s="1"/>
  <c r="T267" i="3" s="1"/>
  <c r="P41" i="21" a="1"/>
  <c r="P41" i="21" s="1"/>
  <c r="Q29" i="21" a="1"/>
  <c r="Q29" i="21" s="1"/>
  <c r="CX632" i="3"/>
  <c r="Q34" i="21" a="1"/>
  <c r="Q34" i="21" s="1"/>
  <c r="T35" i="21"/>
  <c r="T23" i="21"/>
  <c r="BN641" i="3"/>
  <c r="BR642" i="3" s="1"/>
  <c r="R989" i="3"/>
  <c r="BX655" i="3"/>
  <c r="CB656" i="3" s="1"/>
  <c r="DC652" i="3"/>
  <c r="DC655" i="3" s="1"/>
  <c r="Q32" i="21" a="1"/>
  <c r="Q32" i="21" s="1"/>
  <c r="S32" i="21"/>
  <c r="S26" i="21"/>
  <c r="Q26" i="21" a="1"/>
  <c r="Q26" i="21" s="1"/>
  <c r="BK632" i="3"/>
  <c r="X1051" i="3" s="1"/>
  <c r="CH632" i="3"/>
  <c r="AX681" i="20" s="1"/>
  <c r="BS655" i="3"/>
  <c r="BW656" i="3" s="1"/>
  <c r="T20" i="21"/>
  <c r="M18" i="21"/>
  <c r="Q37" i="21" a="1"/>
  <c r="Q37" i="21" s="1"/>
  <c r="S37" i="21"/>
  <c r="CM632" i="3"/>
  <c r="AX682" i="20" s="1"/>
  <c r="CC632" i="3"/>
  <c r="AX680" i="20" s="1"/>
  <c r="DR655" i="3"/>
  <c r="CH655" i="3"/>
  <c r="CL656" i="3" s="1"/>
  <c r="DM645" i="3"/>
  <c r="DM655" i="3" s="1"/>
  <c r="DH655" i="3"/>
  <c r="AC884" i="3"/>
  <c r="CC655" i="3"/>
  <c r="CG656" i="3" s="1"/>
  <c r="BX632" i="3"/>
  <c r="CS648" i="3"/>
  <c r="CS655" i="3" s="1"/>
  <c r="BN655" i="3"/>
  <c r="T36" i="21"/>
  <c r="T31" i="21"/>
  <c r="AV116" i="20"/>
  <c r="AW115" i="20" s="1"/>
  <c r="Q36" i="21" a="1"/>
  <c r="Q36" i="21" s="1"/>
  <c r="O42" i="21"/>
  <c r="Q22" i="21" a="1"/>
  <c r="Q22" i="21" s="1"/>
  <c r="S38" i="21"/>
  <c r="S29" i="21"/>
  <c r="S20" i="21"/>
  <c r="T29" i="21"/>
  <c r="Q38" i="21" a="1"/>
  <c r="Q38" i="21" s="1"/>
  <c r="Q20" i="21" a="1"/>
  <c r="Q20" i="21" s="1"/>
  <c r="R43" i="21"/>
  <c r="T43" i="21"/>
  <c r="P42" i="21" a="1"/>
  <c r="P42" i="21" s="1"/>
  <c r="R42" i="21"/>
  <c r="T42"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D78" i="11" l="1"/>
  <c r="D63" i="11"/>
  <c r="S81" i="4"/>
  <c r="E81" i="13" s="1"/>
  <c r="E79" i="13"/>
  <c r="D43" i="11"/>
  <c r="DX635" i="3"/>
  <c r="BH702" i="3"/>
  <c r="BI702" i="3" s="1"/>
  <c r="BH701" i="3"/>
  <c r="BI701" i="3" s="1"/>
  <c r="BU669" i="3"/>
  <c r="BU677" i="3"/>
  <c r="BU685" i="3"/>
  <c r="BU693" i="3"/>
  <c r="BV693" i="3" s="1"/>
  <c r="BU702" i="3"/>
  <c r="BV702" i="3" s="1"/>
  <c r="BU670" i="3"/>
  <c r="BU678" i="3"/>
  <c r="BU686" i="3"/>
  <c r="BU694" i="3"/>
  <c r="BV694" i="3" s="1"/>
  <c r="BU668" i="3"/>
  <c r="BU671" i="3"/>
  <c r="BU679" i="3"/>
  <c r="BU687" i="3"/>
  <c r="BU695" i="3"/>
  <c r="BV695" i="3" s="1"/>
  <c r="BU681" i="3"/>
  <c r="BU689" i="3"/>
  <c r="BV689" i="3" s="1"/>
  <c r="BU698" i="3"/>
  <c r="BV698" i="3" s="1"/>
  <c r="BU684" i="3"/>
  <c r="BU700" i="3"/>
  <c r="BV700" i="3" s="1"/>
  <c r="BU672" i="3"/>
  <c r="BU680" i="3"/>
  <c r="BU688" i="3"/>
  <c r="BU696" i="3"/>
  <c r="BV696" i="3" s="1"/>
  <c r="BU673" i="3"/>
  <c r="BU697" i="3"/>
  <c r="BV697" i="3" s="1"/>
  <c r="BU674" i="3"/>
  <c r="BU682" i="3"/>
  <c r="BU690" i="3"/>
  <c r="BV690" i="3" s="1"/>
  <c r="BU676" i="3"/>
  <c r="BU692" i="3"/>
  <c r="BV692" i="3" s="1"/>
  <c r="BU675" i="3"/>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AC885" i="3"/>
  <c r="EC652" i="3"/>
  <c r="I1051" i="3"/>
  <c r="AY1005" i="3" s="1"/>
  <c r="T804" i="20"/>
  <c r="AF804" i="20" s="1"/>
  <c r="Y27" i="15"/>
  <c r="AI27" i="15"/>
  <c r="T793" i="20"/>
  <c r="AF793" i="20" s="1"/>
  <c r="AK78" i="20"/>
  <c r="T27" i="15"/>
  <c r="G22" i="7"/>
  <c r="EC645" i="3"/>
  <c r="EC647" i="3"/>
  <c r="EC653" i="3"/>
  <c r="EC649" i="3"/>
  <c r="DX646" i="3"/>
  <c r="EC650" i="3"/>
  <c r="CS642" i="3"/>
  <c r="EC657" i="3"/>
  <c r="EC656" i="3"/>
  <c r="EC643" i="3"/>
  <c r="EC668" i="3"/>
  <c r="EC669" i="3"/>
  <c r="EC646" i="3"/>
  <c r="EC651" i="3"/>
  <c r="EC640" i="3"/>
  <c r="EC644" i="3"/>
  <c r="EC655" i="3"/>
  <c r="AW112" i="20"/>
  <c r="AW110" i="20"/>
  <c r="EM636" i="3"/>
  <c r="EC654" i="3"/>
  <c r="EC641" i="3"/>
  <c r="I8" i="7"/>
  <c r="I9" i="7" s="1"/>
  <c r="S18" i="21"/>
  <c r="G44" i="21" s="1"/>
  <c r="CS641" i="3"/>
  <c r="EC642" i="3"/>
  <c r="AW111" i="20"/>
  <c r="AW114" i="20"/>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41" i="3"/>
  <c r="ER643" i="3"/>
  <c r="ER644" i="3"/>
  <c r="ER669" i="3"/>
  <c r="ER635" i="3"/>
  <c r="ER638" i="3"/>
  <c r="ER657" i="3"/>
  <c r="ER645" i="3"/>
  <c r="ER649" i="3"/>
  <c r="ER637" i="3"/>
  <c r="ER656" i="3"/>
  <c r="ER639" i="3"/>
  <c r="ER648" i="3"/>
  <c r="EM652" i="3"/>
  <c r="AG1048" i="3"/>
  <c r="ER642" i="3"/>
  <c r="BX660" i="3"/>
  <c r="AB987" i="3" s="1"/>
  <c r="AJ987" i="3" s="1"/>
  <c r="EH654" i="3"/>
  <c r="EH639" i="3"/>
  <c r="EH651" i="3"/>
  <c r="EH635" i="3"/>
  <c r="EH647" i="3"/>
  <c r="EH645" i="3"/>
  <c r="EH649" i="3"/>
  <c r="EH650" i="3"/>
  <c r="EH669" i="3"/>
  <c r="EH638" i="3"/>
  <c r="EH652" i="3"/>
  <c r="EH648" i="3"/>
  <c r="EH636" i="3"/>
  <c r="CB634" i="3"/>
  <c r="EH655" i="3"/>
  <c r="EH657" i="3"/>
  <c r="EH646" i="3"/>
  <c r="EH656" i="3"/>
  <c r="EH668" i="3"/>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3" i="3"/>
  <c r="EM641" i="3"/>
  <c r="EM654" i="3"/>
  <c r="CG634" i="3"/>
  <c r="EM669" i="3"/>
  <c r="EM637" i="3"/>
  <c r="EM657" i="3"/>
  <c r="EM655" i="3"/>
  <c r="EM668" i="3"/>
  <c r="EM640" i="3"/>
  <c r="EM639" i="3"/>
  <c r="EM642" i="3"/>
  <c r="EM656" i="3"/>
  <c r="EM644" i="3"/>
  <c r="EM638" i="3"/>
  <c r="EH637" i="3"/>
  <c r="DR657" i="3"/>
  <c r="EM635" i="3"/>
  <c r="EM643" i="3"/>
  <c r="K15" i="7"/>
  <c r="I22" i="7"/>
  <c r="E27" i="21"/>
  <c r="G22" i="21"/>
  <c r="BH703" i="3" l="1"/>
  <c r="AI23" i="15"/>
  <c r="AI26" i="15" s="1"/>
  <c r="AI28" i="15" s="1"/>
  <c r="BU703" i="3"/>
  <c r="AX684" i="20"/>
  <c r="AO684" i="20" s="1"/>
  <c r="BI668" i="3"/>
  <c r="DX670" i="3"/>
  <c r="E124" i="20" s="1"/>
  <c r="E127" i="20" s="1"/>
  <c r="E130" i="20" s="1"/>
  <c r="AW116" i="20"/>
  <c r="AK180" i="20"/>
  <c r="T800" i="20" s="1"/>
  <c r="AF800" i="20" s="1"/>
  <c r="T794" i="20"/>
  <c r="AF794" i="20" s="1"/>
  <c r="K8" i="7"/>
  <c r="M8" i="7" s="1"/>
  <c r="EW670" i="3"/>
  <c r="AD124" i="20" s="1"/>
  <c r="AD127" i="20" s="1"/>
  <c r="AD130" i="20" s="1"/>
  <c r="CS634" i="3"/>
  <c r="O756" i="3" s="1"/>
  <c r="AJ985" i="3"/>
  <c r="AB989" i="3"/>
  <c r="AJ989" i="3" s="1"/>
  <c r="M15" i="7"/>
  <c r="K22" i="7"/>
  <c r="F25" i="21"/>
  <c r="G54" i="21"/>
  <c r="G56" i="21" s="1"/>
  <c r="G58" i="21" s="1"/>
  <c r="E12" i="21" s="1"/>
  <c r="F26" i="21"/>
  <c r="G26" i="21" s="1"/>
  <c r="G45" i="21"/>
  <c r="G47" i="21" s="1"/>
  <c r="G49" i="21" s="1"/>
  <c r="E11" i="21" s="1"/>
  <c r="AP694" i="20" l="1"/>
  <c r="AP695" i="20"/>
  <c r="K9" i="7"/>
  <c r="AJ991" i="3"/>
  <c r="AB990" i="3"/>
  <c r="CS660" i="3"/>
  <c r="U362" i="20" s="1"/>
  <c r="P421" i="3"/>
  <c r="M22" i="7"/>
  <c r="O15" i="7"/>
  <c r="M9" i="7"/>
  <c r="O8" i="7"/>
  <c r="G25" i="21"/>
  <c r="F24" i="21"/>
  <c r="AJ1010" i="3" l="1"/>
  <c r="AJ1028" i="3"/>
  <c r="AJ1015" i="3"/>
  <c r="B1059" i="3"/>
  <c r="AJ1044" i="3"/>
  <c r="AP541" i="20" s="1"/>
  <c r="AJ1048" i="3"/>
  <c r="AP542" i="20" s="1"/>
  <c r="AP539" i="20"/>
  <c r="G24" i="21"/>
  <c r="F27" i="21"/>
  <c r="G27" i="21"/>
  <c r="O22" i="7"/>
  <c r="Q15" i="7"/>
  <c r="O9" i="7"/>
  <c r="Q8" i="7"/>
  <c r="AZ846" i="3" l="1"/>
  <c r="AZ843" i="3"/>
  <c r="AJ1052" i="3"/>
  <c r="AP546" i="20" s="1"/>
  <c r="AP545" i="20" s="1"/>
  <c r="AP543" i="20"/>
  <c r="Q22" i="7"/>
  <c r="S15" i="7"/>
  <c r="G95" i="21"/>
  <c r="G96" i="21" s="1"/>
  <c r="G29" i="21"/>
  <c r="G31" i="21" s="1"/>
  <c r="E9" i="21" s="1"/>
  <c r="G104" i="21"/>
  <c r="G106" i="21" s="1"/>
  <c r="G79" i="21"/>
  <c r="G64" i="21"/>
  <c r="Q9" i="7"/>
  <c r="S8" i="7"/>
  <c r="AZ851" i="3" l="1"/>
  <c r="T24" i="15"/>
  <c r="AP548" i="20"/>
  <c r="AF541" i="20" s="1"/>
  <c r="G69" i="21"/>
  <c r="G81" i="21"/>
  <c r="G65" i="21"/>
  <c r="S22" i="7"/>
  <c r="U15" i="7"/>
  <c r="E14" i="21"/>
  <c r="E15" i="21" s="1"/>
  <c r="U8" i="7"/>
  <c r="S9" i="7"/>
  <c r="U22" i="7" l="1"/>
  <c r="W15" i="7"/>
  <c r="G83" i="21"/>
  <c r="E13" i="21" s="1"/>
  <c r="U9" i="7"/>
  <c r="W8" i="7"/>
  <c r="W22" i="7" l="1"/>
  <c r="Y15" i="7"/>
  <c r="W9" i="7"/>
  <c r="Y8" i="7"/>
  <c r="Y22" i="7" l="1"/>
  <c r="AA15" i="7"/>
  <c r="Y9" i="7"/>
  <c r="AA8" i="7"/>
  <c r="AC15" i="7" l="1"/>
  <c r="AA22" i="7"/>
  <c r="AC8" i="7"/>
  <c r="AA9" i="7"/>
  <c r="AE15" i="7" l="1"/>
  <c r="AC22" i="7"/>
  <c r="AC9" i="7"/>
  <c r="AE8" i="7"/>
  <c r="AE22" i="7" l="1"/>
  <c r="AG15" i="7"/>
  <c r="AG22" i="7" s="1"/>
  <c r="AE9" i="7"/>
  <c r="AG8" i="7"/>
  <c r="AG9" i="7" s="1"/>
  <c r="BI693" i="3" l="1"/>
  <c r="BI703" i="3" l="1"/>
  <c r="AC753" i="3" s="1"/>
  <c r="E87" i="20" l="1"/>
  <c r="E88" i="20" s="1"/>
  <c r="E89" i="20" s="1"/>
  <c r="AP89" i="20" s="1"/>
  <c r="AK103" i="20" s="1"/>
  <c r="T795" i="20" s="1"/>
  <c r="AF795" i="20" s="1"/>
  <c r="E97" i="20"/>
  <c r="E100" i="20" s="1"/>
  <c r="O734" i="3" l="1"/>
  <c r="F21" i="8"/>
  <c r="O718" i="3"/>
  <c r="O737" i="3"/>
  <c r="O728" i="3" l="1"/>
  <c r="AQ125" i="20"/>
  <c r="X737" i="3"/>
  <c r="AH737" i="3" s="1"/>
  <c r="BV687" i="3" s="1"/>
  <c r="D23" i="8"/>
  <c r="ER616" i="3"/>
  <c r="ER654" i="3" s="1"/>
  <c r="O722" i="3"/>
  <c r="X734" i="3"/>
  <c r="AH734" i="3" s="1"/>
  <c r="BV684" i="3" s="1"/>
  <c r="AQ122" i="20"/>
  <c r="D20" i="8"/>
  <c r="EM613" i="3"/>
  <c r="EM651" i="3" s="1"/>
  <c r="O724" i="3"/>
  <c r="O725" i="3"/>
  <c r="O732" i="3"/>
  <c r="O738" i="3"/>
  <c r="F5" i="8"/>
  <c r="AQ106" i="20"/>
  <c r="X718" i="3"/>
  <c r="AH718" i="3" s="1"/>
  <c r="BV668" i="3" s="1"/>
  <c r="D4" i="8"/>
  <c r="EC597" i="3"/>
  <c r="F23" i="8"/>
  <c r="G21" i="8"/>
  <c r="T37" i="21"/>
  <c r="O37" i="21" s="1"/>
  <c r="P37" i="21" s="1" a="1"/>
  <c r="P37" i="21" s="1"/>
  <c r="R37" i="21" s="1"/>
  <c r="O735" i="3"/>
  <c r="O736" i="3"/>
  <c r="F14" i="8"/>
  <c r="O719" i="3"/>
  <c r="O720" i="3"/>
  <c r="O727" i="3" l="1"/>
  <c r="D6" i="8"/>
  <c r="AQ108" i="20"/>
  <c r="X720" i="3"/>
  <c r="AH720" i="3" s="1"/>
  <c r="BV670" i="3" s="1"/>
  <c r="EC599" i="3"/>
  <c r="EC637" i="3" s="1"/>
  <c r="O721" i="3"/>
  <c r="I23" i="8"/>
  <c r="J23" i="8" s="1"/>
  <c r="G23" i="8"/>
  <c r="T39" i="21"/>
  <c r="O39" i="21" s="1"/>
  <c r="P39" i="21" s="1" a="1"/>
  <c r="P39" i="21" s="1"/>
  <c r="R39" i="21" s="1"/>
  <c r="O733" i="3"/>
  <c r="D22" i="8"/>
  <c r="X736" i="3"/>
  <c r="AH736" i="3" s="1"/>
  <c r="BV686" i="3" s="1"/>
  <c r="AQ124" i="20"/>
  <c r="ER615" i="3"/>
  <c r="ER653" i="3" s="1"/>
  <c r="D8" i="8"/>
  <c r="AQ110" i="20"/>
  <c r="X722" i="3"/>
  <c r="AH722" i="3" s="1"/>
  <c r="BV672" i="3" s="1"/>
  <c r="EC601" i="3"/>
  <c r="EC639" i="3" s="1"/>
  <c r="X735" i="3"/>
  <c r="AH735" i="3" s="1"/>
  <c r="BV685" i="3" s="1"/>
  <c r="AQ123" i="20"/>
  <c r="D21" i="8"/>
  <c r="I21" i="8" s="1"/>
  <c r="J21" i="8" s="1"/>
  <c r="ER614" i="3"/>
  <c r="O723" i="3"/>
  <c r="G5" i="8"/>
  <c r="T21" i="21"/>
  <c r="X719" i="3"/>
  <c r="AH719" i="3" s="1"/>
  <c r="BV669" i="3" s="1"/>
  <c r="AQ107" i="20"/>
  <c r="D5" i="8"/>
  <c r="I5" i="8" s="1"/>
  <c r="J5" i="8" s="1"/>
  <c r="EC598" i="3"/>
  <c r="EC636" i="3" s="1"/>
  <c r="EC635" i="3"/>
  <c r="F16" i="8"/>
  <c r="G14" i="8"/>
  <c r="T30" i="21"/>
  <c r="O30" i="21" s="1"/>
  <c r="P30" i="21" s="1" a="1"/>
  <c r="P30" i="21" s="1"/>
  <c r="R30" i="21" s="1"/>
  <c r="X728" i="3"/>
  <c r="AH728" i="3" s="1"/>
  <c r="BV678" i="3" s="1"/>
  <c r="AQ116" i="20"/>
  <c r="D14" i="8"/>
  <c r="I14" i="8" s="1"/>
  <c r="J14" i="8" s="1"/>
  <c r="EM607" i="3"/>
  <c r="AQ126" i="20"/>
  <c r="X738" i="3"/>
  <c r="AH738" i="3" s="1"/>
  <c r="BV688" i="3" s="1"/>
  <c r="D24" i="8"/>
  <c r="ER617" i="3"/>
  <c r="ER655" i="3" s="1"/>
  <c r="D11" i="8"/>
  <c r="AQ113" i="20"/>
  <c r="X725" i="3"/>
  <c r="AH725" i="3" s="1"/>
  <c r="BV675" i="3" s="1"/>
  <c r="EH604" i="3"/>
  <c r="EH642" i="3" s="1"/>
  <c r="D18" i="8"/>
  <c r="X732" i="3"/>
  <c r="AH732" i="3" s="1"/>
  <c r="BV682" i="3" s="1"/>
  <c r="AQ120" i="20"/>
  <c r="EM611" i="3"/>
  <c r="EM649" i="3" s="1"/>
  <c r="B5" i="11"/>
  <c r="B9" i="11" s="1"/>
  <c r="B4" i="13"/>
  <c r="C5" i="11"/>
  <c r="B4" i="4"/>
  <c r="C8" i="4"/>
  <c r="O729" i="3"/>
  <c r="F10" i="8"/>
  <c r="O730" i="3"/>
  <c r="O731" i="3"/>
  <c r="AQ112" i="20"/>
  <c r="D10" i="8"/>
  <c r="X724" i="3"/>
  <c r="AH724" i="3" s="1"/>
  <c r="BV674" i="3" s="1"/>
  <c r="EH603" i="3"/>
  <c r="EH641" i="3" s="1"/>
  <c r="B8" i="4" l="1"/>
  <c r="C12" i="4"/>
  <c r="B12" i="13" s="1"/>
  <c r="B8" i="13"/>
  <c r="D5" i="11"/>
  <c r="C9" i="11"/>
  <c r="D16" i="8"/>
  <c r="I16" i="8" s="1"/>
  <c r="J16" i="8" s="1"/>
  <c r="AQ118" i="20"/>
  <c r="X730" i="3"/>
  <c r="AH730" i="3" s="1"/>
  <c r="BV680" i="3" s="1"/>
  <c r="EM609" i="3"/>
  <c r="EM647" i="3" s="1"/>
  <c r="B13" i="11"/>
  <c r="AQ121" i="20"/>
  <c r="D19" i="8"/>
  <c r="X733" i="3"/>
  <c r="AH733" i="3" s="1"/>
  <c r="BV683" i="3" s="1"/>
  <c r="EM612" i="3"/>
  <c r="EM650" i="3" s="1"/>
  <c r="O21" i="21"/>
  <c r="P21" i="21" s="1" a="1"/>
  <c r="P21" i="21" s="1"/>
  <c r="R21" i="21" s="1"/>
  <c r="X731" i="3"/>
  <c r="AH731" i="3" s="1"/>
  <c r="BV681" i="3" s="1"/>
  <c r="D17" i="8"/>
  <c r="AQ119" i="20"/>
  <c r="EM610" i="3"/>
  <c r="EM648" i="3" s="1"/>
  <c r="ER632" i="3"/>
  <c r="ER652" i="3"/>
  <c r="ER670" i="3" s="1"/>
  <c r="Y124" i="20" s="1"/>
  <c r="Y127" i="20" s="1"/>
  <c r="Y130" i="20" s="1"/>
  <c r="F18" i="8"/>
  <c r="T32" i="21"/>
  <c r="O32" i="21" s="1"/>
  <c r="P32" i="21" s="1" a="1"/>
  <c r="P32" i="21" s="1"/>
  <c r="R32" i="21" s="1"/>
  <c r="G16" i="8"/>
  <c r="I10" i="8"/>
  <c r="J10" i="8" s="1"/>
  <c r="G10" i="8"/>
  <c r="T26" i="21"/>
  <c r="O26" i="21" s="1"/>
  <c r="P26" i="21" s="1" a="1"/>
  <c r="P26" i="21" s="1"/>
  <c r="R26" i="21" s="1"/>
  <c r="EM645" i="3"/>
  <c r="AQ109" i="20"/>
  <c r="D7" i="8"/>
  <c r="X721" i="3"/>
  <c r="AH721" i="3" s="1"/>
  <c r="BV671" i="3" s="1"/>
  <c r="EC600" i="3"/>
  <c r="EC638" i="3" s="1"/>
  <c r="EC670" i="3" s="1"/>
  <c r="J124" i="20" s="1"/>
  <c r="J127" i="20" s="1"/>
  <c r="J130" i="20" s="1"/>
  <c r="D9" i="8"/>
  <c r="AQ111" i="20"/>
  <c r="X723" i="3"/>
  <c r="AH723" i="3" s="1"/>
  <c r="BV673" i="3" s="1"/>
  <c r="EH602" i="3"/>
  <c r="X729" i="3"/>
  <c r="AH729" i="3" s="1"/>
  <c r="BV679" i="3" s="1"/>
  <c r="AQ117" i="20"/>
  <c r="D15" i="8"/>
  <c r="EM608" i="3"/>
  <c r="EM646" i="3" s="1"/>
  <c r="O726" i="3"/>
  <c r="X727" i="3"/>
  <c r="AH727" i="3" s="1"/>
  <c r="BV677" i="3" s="1"/>
  <c r="AQ115" i="20"/>
  <c r="D13" i="8"/>
  <c r="EH606" i="3"/>
  <c r="EH644" i="3" s="1"/>
  <c r="EC632" i="3" l="1"/>
  <c r="EM670" i="3"/>
  <c r="T124" i="20" s="1"/>
  <c r="T127" i="20" s="1"/>
  <c r="T130" i="20" s="1"/>
  <c r="D9" i="11"/>
  <c r="C13" i="11"/>
  <c r="D13" i="11" s="1"/>
  <c r="AQ114" i="20"/>
  <c r="X726" i="3"/>
  <c r="AH726" i="3" s="1"/>
  <c r="BV676" i="3" s="1"/>
  <c r="BV703" i="3" s="1"/>
  <c r="AH753" i="3" s="1"/>
  <c r="D12" i="8"/>
  <c r="EH605" i="3"/>
  <c r="EH643" i="3" s="1"/>
  <c r="O753" i="3"/>
  <c r="I18" i="8"/>
  <c r="J18" i="8" s="1"/>
  <c r="J40" i="8" s="1"/>
  <c r="Z809" i="3" s="1"/>
  <c r="T34" i="21"/>
  <c r="G35" i="21" s="1" a="1"/>
  <c r="G35" i="21" s="1"/>
  <c r="G36" i="21" s="1"/>
  <c r="G18" i="8"/>
  <c r="G40" i="8" s="1"/>
  <c r="EM632" i="3"/>
  <c r="N187" i="27"/>
  <c r="N193" i="27" s="1"/>
  <c r="B12" i="4"/>
  <c r="EH640" i="3"/>
  <c r="O34" i="21" l="1"/>
  <c r="P34" i="21" s="1" a="1"/>
  <c r="P34" i="21" s="1"/>
  <c r="R34" i="21" s="1"/>
  <c r="O40" i="21"/>
  <c r="P40" i="21" s="1" a="1"/>
  <c r="P40" i="21" s="1"/>
  <c r="R40" i="21" s="1"/>
  <c r="O22" i="21"/>
  <c r="P22" i="21" s="1" a="1"/>
  <c r="P22" i="21" s="1"/>
  <c r="R22" i="21" s="1"/>
  <c r="O36" i="21"/>
  <c r="P36" i="21" s="1" a="1"/>
  <c r="P36" i="21" s="1"/>
  <c r="R36" i="21" s="1"/>
  <c r="O23" i="21"/>
  <c r="P23" i="21" s="1" a="1"/>
  <c r="P23" i="21" s="1"/>
  <c r="R23" i="21" s="1"/>
  <c r="O35" i="21"/>
  <c r="P35" i="21" s="1" a="1"/>
  <c r="P35" i="21" s="1"/>
  <c r="R35" i="21" s="1"/>
  <c r="O38" i="21"/>
  <c r="P38" i="21" s="1" a="1"/>
  <c r="P38" i="21" s="1"/>
  <c r="R38" i="21" s="1"/>
  <c r="O29" i="21"/>
  <c r="P29" i="21" s="1" a="1"/>
  <c r="P29" i="21" s="1"/>
  <c r="R29" i="21" s="1"/>
  <c r="O24" i="21"/>
  <c r="P24" i="21" s="1" a="1"/>
  <c r="P24" i="21" s="1"/>
  <c r="R24" i="21" s="1"/>
  <c r="O25" i="21"/>
  <c r="P25" i="21" s="1" a="1"/>
  <c r="P25" i="21" s="1"/>
  <c r="R25" i="21" s="1"/>
  <c r="O20" i="21"/>
  <c r="P20" i="21" s="1" a="1"/>
  <c r="P20" i="21" s="1"/>
  <c r="R20" i="21" s="1"/>
  <c r="O33" i="21"/>
  <c r="P33" i="21" s="1" a="1"/>
  <c r="P33" i="21" s="1"/>
  <c r="R33" i="21" s="1"/>
  <c r="O31" i="21"/>
  <c r="P31" i="21" s="1" a="1"/>
  <c r="P31" i="21" s="1"/>
  <c r="R31" i="21" s="1"/>
  <c r="O27" i="21"/>
  <c r="P27" i="21" s="1" a="1"/>
  <c r="P27" i="21" s="1"/>
  <c r="R27" i="21" s="1"/>
  <c r="O28" i="21"/>
  <c r="P28" i="21" s="1" a="1"/>
  <c r="P28" i="21" s="1"/>
  <c r="R28" i="21" s="1"/>
  <c r="M959" i="3"/>
  <c r="M960" i="3" s="1"/>
  <c r="E6" i="7"/>
  <c r="EH632" i="3"/>
  <c r="AC889" i="3"/>
  <c r="E28" i="7" s="1"/>
  <c r="EH670" i="3"/>
  <c r="O124" i="20" s="1"/>
  <c r="O127" i="20" s="1"/>
  <c r="O130" i="20" s="1"/>
  <c r="E132" i="20" s="1"/>
  <c r="E133" i="20" s="1"/>
  <c r="AK137" i="20" s="1"/>
  <c r="T796" i="20" s="1"/>
  <c r="AF796" i="20" s="1"/>
  <c r="D40" i="8"/>
  <c r="Y801" i="3"/>
  <c r="Y800" i="3"/>
  <c r="G38" i="21" l="1"/>
  <c r="G40" i="21" s="1"/>
  <c r="E10" i="21" s="1"/>
  <c r="E16" i="21" s="1"/>
  <c r="H3" i="21" s="1"/>
  <c r="E7" i="7"/>
  <c r="G6" i="7"/>
  <c r="M28" i="7"/>
  <c r="M35" i="7" s="1"/>
  <c r="K28" i="7"/>
  <c r="K35" i="7" s="1"/>
  <c r="AE28" i="7"/>
  <c r="AE35" i="7" s="1"/>
  <c r="O28" i="7"/>
  <c r="O35" i="7" s="1"/>
  <c r="G28" i="7"/>
  <c r="G35" i="7" s="1"/>
  <c r="U28" i="7"/>
  <c r="U35" i="7" s="1"/>
  <c r="S28" i="7"/>
  <c r="S35" i="7" s="1"/>
  <c r="W28" i="7"/>
  <c r="W35" i="7" s="1"/>
  <c r="AA28" i="7"/>
  <c r="AA35" i="7" s="1"/>
  <c r="AC28" i="7"/>
  <c r="AC35" i="7" s="1"/>
  <c r="AG28" i="7"/>
  <c r="AG35" i="7" s="1"/>
  <c r="Y28" i="7"/>
  <c r="Y35" i="7" s="1"/>
  <c r="Q28" i="7"/>
  <c r="Q35" i="7" s="1"/>
  <c r="I28" i="7"/>
  <c r="I35" i="7" s="1"/>
  <c r="E35" i="7"/>
  <c r="E4" i="7"/>
  <c r="Z818" i="3"/>
  <c r="G7" i="7" l="1"/>
  <c r="I6" i="7"/>
  <c r="AO627" i="3"/>
  <c r="F29" i="4" s="1"/>
  <c r="G4" i="7"/>
  <c r="E5" i="7"/>
  <c r="E11" i="7"/>
  <c r="E37" i="7" s="1"/>
  <c r="G29" i="4" l="1"/>
  <c r="F38" i="4"/>
  <c r="F63" i="4" s="1"/>
  <c r="F97" i="4" s="1"/>
  <c r="F105" i="4" s="1"/>
  <c r="N10" i="27"/>
  <c r="F108" i="4"/>
  <c r="AF627" i="3"/>
  <c r="E40" i="7" s="1"/>
  <c r="I7" i="7"/>
  <c r="K6" i="7"/>
  <c r="G5" i="7"/>
  <c r="G11" i="7" s="1"/>
  <c r="G37" i="7" s="1"/>
  <c r="I4" i="7"/>
  <c r="G30" i="4" l="1"/>
  <c r="G38" i="4"/>
  <c r="G63" i="4" s="1"/>
  <c r="G97" i="4" s="1"/>
  <c r="G105" i="4" s="1"/>
  <c r="E29" i="4"/>
  <c r="R29" i="4" s="1"/>
  <c r="S29" i="4" s="1"/>
  <c r="E29" i="13" s="1"/>
  <c r="G40" i="7"/>
  <c r="G43" i="7" s="1"/>
  <c r="G45" i="7" s="1"/>
  <c r="U40" i="7"/>
  <c r="U43" i="7" s="1"/>
  <c r="K40" i="7"/>
  <c r="K43" i="7" s="1"/>
  <c r="S40" i="7"/>
  <c r="S43" i="7" s="1"/>
  <c r="AA40" i="7"/>
  <c r="AA43" i="7" s="1"/>
  <c r="Y40" i="7"/>
  <c r="Y43" i="7" s="1"/>
  <c r="AE40" i="7"/>
  <c r="AE43" i="7" s="1"/>
  <c r="I40" i="7"/>
  <c r="I43" i="7" s="1"/>
  <c r="W40" i="7"/>
  <c r="W43" i="7" s="1"/>
  <c r="E43" i="7"/>
  <c r="AC40" i="7"/>
  <c r="AC43" i="7" s="1"/>
  <c r="AG40" i="7"/>
  <c r="AG43" i="7" s="1"/>
  <c r="Q40" i="7"/>
  <c r="Q43" i="7" s="1"/>
  <c r="M40" i="7"/>
  <c r="M43" i="7" s="1"/>
  <c r="O40" i="7"/>
  <c r="O43" i="7" s="1"/>
  <c r="I5" i="7"/>
  <c r="K4" i="7"/>
  <c r="M6" i="7"/>
  <c r="K7" i="7"/>
  <c r="I11" i="7"/>
  <c r="I37" i="7" s="1"/>
  <c r="G60" i="7" l="1"/>
  <c r="G47" i="7"/>
  <c r="G48" i="7"/>
  <c r="I45" i="7"/>
  <c r="I49" i="7"/>
  <c r="M4" i="7"/>
  <c r="K5" i="7"/>
  <c r="K11" i="7"/>
  <c r="K37" i="7" s="1"/>
  <c r="M7" i="7"/>
  <c r="O6" i="7"/>
  <c r="E49" i="7"/>
  <c r="E45" i="7"/>
  <c r="G49" i="7"/>
  <c r="E48" i="7" l="1"/>
  <c r="E47" i="7"/>
  <c r="E60" i="7"/>
  <c r="O7" i="7"/>
  <c r="Q6" i="7"/>
  <c r="K45" i="7"/>
  <c r="K49" i="7"/>
  <c r="O4" i="7"/>
  <c r="M5" i="7"/>
  <c r="M11" i="7" s="1"/>
  <c r="M37" i="7" s="1"/>
  <c r="I48" i="7"/>
  <c r="I60" i="7"/>
  <c r="I47" i="7"/>
  <c r="G67" i="7"/>
  <c r="G62" i="7"/>
  <c r="G66" i="7"/>
  <c r="G70" i="7" l="1"/>
  <c r="G72" i="7" s="1"/>
  <c r="M45" i="7"/>
  <c r="M49" i="7"/>
  <c r="Q7" i="7"/>
  <c r="S6" i="7"/>
  <c r="E62" i="7"/>
  <c r="E66" i="7"/>
  <c r="E67" i="7"/>
  <c r="I66" i="7"/>
  <c r="I62" i="7"/>
  <c r="I67" i="7"/>
  <c r="O5" i="7"/>
  <c r="O11" i="7" s="1"/>
  <c r="O37" i="7" s="1"/>
  <c r="Q4" i="7"/>
  <c r="K47" i="7"/>
  <c r="K48" i="7"/>
  <c r="K60" i="7"/>
  <c r="O45" i="7" l="1"/>
  <c r="O49" i="7"/>
  <c r="S4" i="7"/>
  <c r="Q5" i="7"/>
  <c r="E70" i="7"/>
  <c r="E72" i="7" s="1"/>
  <c r="Q11" i="7"/>
  <c r="Q37" i="7" s="1"/>
  <c r="K66" i="7"/>
  <c r="K67" i="7"/>
  <c r="K62" i="7"/>
  <c r="I70" i="7"/>
  <c r="I72" i="7" s="1"/>
  <c r="S7" i="7"/>
  <c r="U6" i="7"/>
  <c r="M48" i="7"/>
  <c r="M47" i="7"/>
  <c r="M60" i="7"/>
  <c r="K70" i="7" l="1"/>
  <c r="K72" i="7" s="1"/>
  <c r="M62" i="7"/>
  <c r="M67" i="7"/>
  <c r="M66" i="7"/>
  <c r="M70" i="7" s="1"/>
  <c r="Q49" i="7"/>
  <c r="Q45" i="7"/>
  <c r="U4" i="7"/>
  <c r="S5" i="7"/>
  <c r="S11" i="7" s="1"/>
  <c r="S37" i="7" s="1"/>
  <c r="O47" i="7"/>
  <c r="O48" i="7"/>
  <c r="O60" i="7"/>
  <c r="U7" i="7"/>
  <c r="W6" i="7"/>
  <c r="M72" i="7" l="1"/>
  <c r="S49" i="7"/>
  <c r="S45" i="7"/>
  <c r="O67" i="7"/>
  <c r="O66" i="7"/>
  <c r="O70" i="7" s="1"/>
  <c r="O62" i="7"/>
  <c r="Y6" i="7"/>
  <c r="W7" i="7"/>
  <c r="U5" i="7"/>
  <c r="U11" i="7" s="1"/>
  <c r="U37" i="7" s="1"/>
  <c r="W4" i="7"/>
  <c r="Q60" i="7"/>
  <c r="Q48" i="7"/>
  <c r="Q47" i="7"/>
  <c r="U45" i="7" l="1"/>
  <c r="U49" i="7"/>
  <c r="Y7" i="7"/>
  <c r="AA6" i="7"/>
  <c r="Q66" i="7"/>
  <c r="Q67" i="7"/>
  <c r="Q62" i="7"/>
  <c r="O72" i="7"/>
  <c r="W5" i="7"/>
  <c r="W11" i="7" s="1"/>
  <c r="W37" i="7" s="1"/>
  <c r="Y4" i="7"/>
  <c r="S48" i="7"/>
  <c r="S47" i="7"/>
  <c r="S60" i="7"/>
  <c r="Q70" i="7" l="1"/>
  <c r="Q72" i="7" s="1"/>
  <c r="U48" i="7"/>
  <c r="U60" i="7"/>
  <c r="U47" i="7"/>
  <c r="AC6" i="7"/>
  <c r="AA7" i="7"/>
  <c r="S67" i="7"/>
  <c r="S66" i="7"/>
  <c r="S62" i="7"/>
  <c r="W49" i="7"/>
  <c r="W45" i="7"/>
  <c r="AA4" i="7"/>
  <c r="Y5" i="7"/>
  <c r="Y11" i="7" s="1"/>
  <c r="Y37" i="7" s="1"/>
  <c r="S70" i="7" l="1"/>
  <c r="Y49" i="7"/>
  <c r="Y45" i="7"/>
  <c r="AE6" i="7"/>
  <c r="AC7" i="7"/>
  <c r="AA5" i="7"/>
  <c r="AA11" i="7" s="1"/>
  <c r="AA37" i="7" s="1"/>
  <c r="AC4" i="7"/>
  <c r="W60" i="7"/>
  <c r="W47" i="7"/>
  <c r="W48" i="7"/>
  <c r="U66" i="7"/>
  <c r="U67" i="7"/>
  <c r="U62" i="7"/>
  <c r="S72" i="7"/>
  <c r="AA45" i="7" l="1"/>
  <c r="AA49" i="7"/>
  <c r="AC5" i="7"/>
  <c r="AE4" i="7"/>
  <c r="AC11" i="7"/>
  <c r="AC37" i="7" s="1"/>
  <c r="AE7" i="7"/>
  <c r="AG6" i="7"/>
  <c r="AG7" i="7" s="1"/>
  <c r="Y47" i="7"/>
  <c r="Y48" i="7"/>
  <c r="Y60" i="7"/>
  <c r="U70" i="7"/>
  <c r="U72" i="7" s="1"/>
  <c r="W67" i="7"/>
  <c r="W62" i="7"/>
  <c r="W66" i="7"/>
  <c r="W70" i="7" s="1"/>
  <c r="W72" i="7" s="1"/>
  <c r="Y67" i="7" l="1"/>
  <c r="Y62" i="7"/>
  <c r="Y66" i="7"/>
  <c r="Y70" i="7" s="1"/>
  <c r="AC45" i="7"/>
  <c r="AC49" i="7"/>
  <c r="AE5" i="7"/>
  <c r="AE11" i="7" s="1"/>
  <c r="AE37" i="7" s="1"/>
  <c r="AG4" i="7"/>
  <c r="AG5" i="7" s="1"/>
  <c r="AA60" i="7"/>
  <c r="AA47" i="7"/>
  <c r="AA48" i="7"/>
  <c r="Y72" i="7" l="1"/>
  <c r="AE49" i="7"/>
  <c r="AE45" i="7"/>
  <c r="AC60" i="7"/>
  <c r="AC48" i="7"/>
  <c r="AC47" i="7"/>
  <c r="AG11" i="7"/>
  <c r="AG37" i="7" s="1"/>
  <c r="AA66" i="7"/>
  <c r="AA67" i="7"/>
  <c r="AA62" i="7"/>
  <c r="AA70" i="7" l="1"/>
  <c r="AA72" i="7" s="1"/>
  <c r="AG49" i="7"/>
  <c r="AG45" i="7"/>
  <c r="AC66" i="7"/>
  <c r="AC62" i="7"/>
  <c r="AC67" i="7"/>
  <c r="AE47" i="7"/>
  <c r="AE60" i="7"/>
  <c r="AE48" i="7"/>
  <c r="AC70" i="7" l="1"/>
  <c r="AC72" i="7" s="1"/>
  <c r="AG48" i="7"/>
  <c r="AG60" i="7"/>
  <c r="AG47" i="7"/>
  <c r="AE62" i="7"/>
  <c r="AE66" i="7"/>
  <c r="AE67" i="7"/>
  <c r="AE70" i="7" l="1"/>
  <c r="AE72" i="7"/>
  <c r="AG62" i="7"/>
  <c r="AG66" i="7"/>
  <c r="AG67" i="7"/>
  <c r="AG70" i="7" l="1"/>
  <c r="AG72" i="7" s="1"/>
  <c r="AO630" i="3" l="1"/>
  <c r="I99" i="4" s="1"/>
  <c r="I104" i="4" s="1"/>
  <c r="I105" i="4" s="1"/>
  <c r="I108" i="4"/>
  <c r="AM554" i="3" l="1"/>
  <c r="AM555" i="3"/>
  <c r="AA918" i="3" s="1"/>
  <c r="AM557" i="3"/>
  <c r="AM558" i="3"/>
  <c r="AM566" i="3"/>
  <c r="AO631" i="3"/>
  <c r="AO639" i="3"/>
  <c r="AO640" i="3"/>
  <c r="AO641" i="3" s="1"/>
  <c r="AE699" i="3"/>
  <c r="AA917" i="3"/>
  <c r="AB48" i="15"/>
  <c r="AB50" i="15"/>
  <c r="C46" i="11"/>
  <c r="B47" i="11"/>
  <c r="B50" i="11"/>
  <c r="C50" i="11"/>
  <c r="D50" i="11"/>
  <c r="B84" i="11"/>
  <c r="B97" i="11" s="1"/>
  <c r="B100" i="11"/>
  <c r="C100" i="11"/>
  <c r="C105" i="11" s="1"/>
  <c r="D105" i="11" s="1"/>
  <c r="D100" i="11"/>
  <c r="B105" i="11"/>
  <c r="B45" i="13"/>
  <c r="B49" i="13"/>
  <c r="E49" i="13"/>
  <c r="J30" i="4"/>
  <c r="J38" i="4" s="1"/>
  <c r="J63" i="4" s="1"/>
  <c r="J97" i="4" s="1"/>
  <c r="J105" i="4" s="1"/>
  <c r="C45" i="4"/>
  <c r="B46" i="11" s="1"/>
  <c r="E45" i="4"/>
  <c r="E54" i="4" s="1"/>
  <c r="R45" i="4"/>
  <c r="R54" i="4" s="1"/>
  <c r="S45" i="4"/>
  <c r="E45" i="13" s="1"/>
  <c r="C46" i="4"/>
  <c r="C47" i="11" s="1"/>
  <c r="D47" i="11" s="1"/>
  <c r="E46" i="4"/>
  <c r="R46" i="4"/>
  <c r="S46" i="4"/>
  <c r="E46" i="13" s="1"/>
  <c r="B49" i="4"/>
  <c r="C49" i="4"/>
  <c r="E49" i="4"/>
  <c r="R49" i="4"/>
  <c r="S49" i="4"/>
  <c r="C54" i="4"/>
  <c r="B54" i="4" s="1"/>
  <c r="C83" i="4"/>
  <c r="C84" i="11" s="1"/>
  <c r="E83" i="4"/>
  <c r="R83" i="4" s="1"/>
  <c r="R96" i="4" s="1"/>
  <c r="B99" i="4"/>
  <c r="C99" i="4"/>
  <c r="B99" i="13" s="1"/>
  <c r="E99" i="4"/>
  <c r="E104" i="4" s="1"/>
  <c r="R99" i="4"/>
  <c r="R104" i="4" s="1"/>
  <c r="S99" i="4"/>
  <c r="S104" i="4" s="1"/>
  <c r="E104" i="13" s="1"/>
  <c r="C104" i="4"/>
  <c r="B104" i="4" s="1"/>
  <c r="E108" i="4"/>
  <c r="J108" i="4"/>
  <c r="I9" i="21"/>
  <c r="C97" i="11" l="1"/>
  <c r="D97" i="11" s="1"/>
  <c r="D84" i="11"/>
  <c r="D46" i="11"/>
  <c r="B55" i="11"/>
  <c r="C55" i="11"/>
  <c r="D55" i="11" s="1"/>
  <c r="B54" i="13"/>
  <c r="E96" i="4"/>
  <c r="B104" i="13"/>
  <c r="S54" i="4"/>
  <c r="E54" i="13" s="1"/>
  <c r="E99" i="13"/>
  <c r="B45" i="4"/>
  <c r="B46" i="13"/>
  <c r="B83" i="4"/>
  <c r="B83" i="13"/>
  <c r="C96" i="4"/>
  <c r="B46" i="4"/>
  <c r="B96" i="4" l="1"/>
  <c r="B96" i="13"/>
  <c r="D106" i="11"/>
  <c r="C106" i="11"/>
  <c r="D35" i="11"/>
  <c r="C35" i="11"/>
  <c r="R105" i="4"/>
  <c r="R97" i="4"/>
  <c r="R63" i="4"/>
  <c r="R38" i="4"/>
  <c r="AF807" i="20"/>
  <c r="T807" i="20"/>
  <c r="AK548" i="20"/>
  <c r="AF542" i="20"/>
  <c r="AF540" i="20"/>
  <c r="F457" i="3"/>
  <c r="AC454" i="3"/>
  <c r="P204" i="3"/>
  <c r="M26" i="3"/>
  <c r="E34" i="4"/>
  <c r="R34" i="4"/>
  <c r="S34" i="4"/>
  <c r="E34" i="13"/>
  <c r="AB55" i="15"/>
  <c r="AB54" i="15"/>
  <c r="B97" i="13"/>
  <c r="B97" i="4"/>
  <c r="E97" i="13"/>
  <c r="AD40" i="15"/>
  <c r="AD38" i="15"/>
  <c r="B106" i="11"/>
  <c r="B31" i="11"/>
  <c r="B39" i="11"/>
  <c r="B64" i="11"/>
  <c r="B98" i="11"/>
  <c r="AB76" i="15"/>
  <c r="AB59" i="15"/>
  <c r="D64" i="11"/>
  <c r="E105" i="4"/>
  <c r="E97" i="4"/>
  <c r="E38" i="4"/>
  <c r="E63" i="4"/>
  <c r="E105" i="13"/>
  <c r="B38" i="13"/>
  <c r="Y28" i="15"/>
  <c r="Y26" i="15"/>
  <c r="Y23" i="15"/>
  <c r="Y11" i="15"/>
  <c r="T26" i="15"/>
  <c r="T28" i="15"/>
  <c r="T29" i="15"/>
  <c r="B63" i="13"/>
  <c r="N194" i="27"/>
  <c r="N183" i="27"/>
  <c r="N184" i="27"/>
  <c r="H5" i="21"/>
  <c r="I10" i="21"/>
  <c r="I11" i="21"/>
  <c r="I16" i="21"/>
  <c r="H4" i="21"/>
  <c r="B38" i="4"/>
  <c r="B63" i="4"/>
  <c r="AG258" i="20"/>
  <c r="B105" i="13"/>
  <c r="AC455" i="3"/>
  <c r="AB78" i="15"/>
  <c r="B30" i="4"/>
  <c r="B30" i="13"/>
  <c r="E38" i="13"/>
  <c r="J81" i="15"/>
  <c r="AB47" i="15"/>
  <c r="AB49" i="15"/>
  <c r="AB80" i="15"/>
  <c r="D39" i="11"/>
  <c r="C38" i="4"/>
  <c r="C63" i="4"/>
  <c r="C97" i="4"/>
  <c r="C105" i="4"/>
  <c r="B105" i="4"/>
  <c r="AB255" i="20"/>
  <c r="AG257" i="20"/>
  <c r="AG259" i="20"/>
  <c r="AK262" i="20"/>
  <c r="T801" i="20"/>
  <c r="AF801" i="20"/>
  <c r="AF810" i="20"/>
  <c r="Y38" i="15"/>
  <c r="Y40" i="15"/>
  <c r="Y41" i="15"/>
  <c r="AB56" i="15"/>
  <c r="AB57" i="15"/>
  <c r="E30" i="13"/>
  <c r="AC456" i="3"/>
  <c r="D31" i="11"/>
  <c r="E63" i="13"/>
  <c r="C31" i="11"/>
  <c r="C39" i="11"/>
  <c r="C64" i="11"/>
  <c r="C98" i="11"/>
  <c r="D98" i="11"/>
  <c r="E30" i="4"/>
  <c r="R30" i="4"/>
  <c r="S30" i="4"/>
  <c r="S38" i="4"/>
  <c r="S63" i="4"/>
  <c r="S97" i="4"/>
  <c r="S105" i="4"/>
  <c r="S107" i="4"/>
  <c r="E107" i="13"/>
  <c r="T11" i="15"/>
  <c r="T23" i="15"/>
  <c r="Y64" i="15"/>
  <c r="Y68" i="15"/>
  <c r="AB77" i="15"/>
  <c r="M27" i="3"/>
  <c r="P205" i="3"/>
  <c r="B34" i="4"/>
  <c r="B34" i="13"/>
  <c r="C30" i="4"/>
  <c r="C34" i="4"/>
  <c r="B3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<sst xmlns="http://schemas.openxmlformats.org/spreadsheetml/2006/main" count="5309" uniqueCount="2795">
  <si>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</si>
  <si>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</si>
  <si>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</si>
  <si>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</si>
  <si>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</si>
  <si>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</si>
  <si>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</si>
  <si>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</si>
  <si>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</si>
  <si>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</si>
  <si>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</si>
  <si>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</si>
  <si>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</si>
  <si>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</si>
  <si>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</si>
  <si>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</si>
  <si>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</si>
  <si>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</si>
  <si>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</si>
  <si>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</si>
  <si>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</si>
  <si>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</si>
  <si>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</si>
  <si>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</si>
  <si>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</si>
  <si>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</si>
  <si>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</si>
  <si>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</si>
  <si>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</si>
  <si>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</si>
  <si>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</si>
  <si>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</si>
  <si>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</si>
  <si>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</si>
  <si>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</si>
  <si>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</si>
  <si>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</si>
  <si>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</si>
  <si>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</si>
  <si>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</si>
  <si>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</si>
  <si>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</si>
  <si>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</si>
  <si>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</si>
  <si>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</si>
  <si>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</si>
  <si>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</si>
  <si>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</si>
  <si>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</si>
  <si>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</si>
  <si>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</si>
  <si>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</si>
  <si>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</si>
  <si>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</si>
  <si>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</si>
  <si>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</si>
  <si>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</si>
  <si>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</si>
  <si>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</si>
  <si>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</si>
  <si>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</si>
  <si>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</si>
  <si>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</si>
  <si>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</si>
  <si>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</si>
  <si>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</si>
  <si>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</si>
  <si>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</si>
  <si>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</si>
  <si>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</si>
  <si>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</si>
  <si>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</si>
  <si>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</si>
  <si>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</si>
  <si>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</si>
  <si>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</si>
  <si>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</si>
  <si>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</si>
  <si>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</si>
  <si>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</si>
  <si>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</si>
  <si>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</si>
  <si>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</si>
  <si>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</si>
  <si>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</si>
  <si>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</si>
  <si>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</si>
  <si>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</si>
  <si>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</si>
  <si>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</si>
  <si>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</si>
  <si>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</si>
  <si>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</si>
  <si>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</si>
  <si>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</si>
  <si>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</si>
  <si>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</si>
  <si>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</si>
  <si>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</si>
  <si>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</si>
  <si>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</si>
  <si>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</si>
  <si>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</si>
  <si>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</si>
  <si>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</si>
  <si>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</si>
  <si>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</si>
  <si>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</si>
  <si>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</si>
  <si>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</si>
  <si>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</si>
  <si>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</si>
  <si>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</si>
  <si>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</si>
  <si>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</si>
  <si>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</si>
  <si>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</si>
  <si>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</si>
  <si>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</si>
  <si>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</si>
  <si>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</si>
  <si>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</si>
  <si>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</si>
  <si>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</si>
  <si>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</si>
  <si>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</si>
  <si>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</si>
  <si>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</si>
  <si>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</si>
  <si>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</si>
  <si>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</si>
  <si>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</si>
  <si>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</si>
  <si>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</si>
  <si>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</si>
  <si>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</si>
  <si>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</si>
  <si>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</si>
  <si>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</si>
  <si>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</si>
  <si>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</si>
  <si>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</si>
  <si>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</si>
  <si>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</si>
  <si>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</si>
  <si>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</si>
  <si>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</si>
  <si>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</si>
  <si>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</si>
  <si>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</si>
  <si>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</si>
  <si>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</si>
  <si>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</si>
  <si>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</si>
  <si>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</si>
  <si>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</si>
  <si>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</si>
  <si>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</si>
  <si>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</si>
  <si>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</si>
  <si>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</si>
  <si>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</si>
  <si>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</si>
  <si>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</si>
  <si>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</si>
  <si>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</si>
  <si>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</si>
  <si>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</si>
  <si>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</si>
  <si>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</si>
  <si>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</si>
  <si>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</si>
  <si>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</si>
  <si>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</si>
  <si>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</si>
  <si>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</si>
  <si>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</si>
  <si>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</si>
  <si>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</si>
  <si>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</si>
  <si>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</si>
  <si>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</si>
  <si>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</si>
  <si>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</si>
  <si>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</si>
  <si>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</si>
  <si>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</si>
  <si>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</si>
  <si>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</si>
  <si>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</si>
  <si>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</si>
  <si>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</si>
  <si>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</si>
  <si>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</si>
  <si>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</si>
  <si>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</si>
  <si>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</si>
  <si>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</si>
  <si>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</si>
  <si>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</si>
  <si>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</si>
  <si>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</si>
  <si>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</si>
  <si>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</si>
  <si>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</si>
  <si>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</si>
  <si>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</si>
  <si>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</si>
  <si>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</si>
  <si>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</si>
  <si>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</si>
  <si>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</si>
  <si>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</si>
  <si>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</si>
  <si>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</si>
  <si>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</si>
  <si>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</si>
  <si>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</si>
  <si>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</si>
  <si>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</si>
  <si>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</si>
  <si>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</si>
  <si>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</si>
  <si>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</si>
  <si>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</si>
  <si>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</si>
  <si>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</si>
  <si>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</si>
  <si>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</si>
  <si>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</si>
  <si>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</si>
  <si>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</si>
  <si>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</si>
  <si>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</si>
  <si>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</si>
  <si>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</si>
  <si>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</si>
  <si>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</si>
  <si>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</si>
  <si>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</si>
  <si>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</si>
  <si>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</si>
  <si>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</si>
  <si>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</si>
  <si>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</si>
  <si>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</si>
  <si>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</si>
  <si>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</si>
  <si>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</si>
  <si>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</si>
  <si>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</si>
  <si>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</si>
  <si>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</si>
  <si>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</si>
  <si>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</si>
  <si>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</si>
  <si>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</si>
  <si>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</si>
  <si>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</si>
  <si>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</si>
  <si>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</si>
  <si>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</si>
  <si>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</si>
  <si>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</si>
  <si>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</si>
  <si>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</si>
  <si>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</si>
  <si>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</si>
  <si>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</si>
  <si>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</si>
  <si>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</si>
  <si>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</si>
  <si>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</si>
  <si>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</si>
  <si>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</si>
  <si>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</si>
  <si>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</si>
  <si>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</si>
  <si>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</si>
  <si>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</si>
  <si>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</si>
  <si>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</si>
  <si>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</si>
  <si>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</si>
  <si>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</si>
  <si>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</si>
  <si>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</si>
  <si>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</si>
  <si>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</si>
  <si>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</si>
  <si>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</si>
  <si>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</si>
  <si>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</si>
  <si>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</si>
  <si>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</si>
  <si>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</si>
  <si>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</si>
  <si>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</si>
  <si>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</si>
  <si>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</si>
  <si>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</si>
  <si>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</si>
  <si>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</si>
  <si>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</si>
  <si>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</si>
  <si>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</si>
  <si>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</si>
  <si>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</si>
  <si>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</si>
  <si>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</si>
  <si>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</si>
  <si>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</si>
  <si>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</si>
  <si>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</si>
  <si>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</si>
  <si>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</si>
  <si>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</si>
  <si>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</si>
  <si>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</si>
  <si>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</si>
  <si>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</si>
  <si>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</si>
  <si>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</si>
  <si>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</si>
  <si>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</si>
  <si>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</si>
  <si>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</si>
  <si>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</si>
  <si>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</si>
  <si>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</si>
  <si>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</si>
  <si>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</si>
  <si>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</si>
  <si>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</si>
  <si>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</si>
  <si>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</si>
  <si>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</si>
  <si>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</si>
  <si>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</si>
  <si>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</si>
  <si>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</si>
  <si>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</si>
  <si>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</si>
  <si>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</si>
  <si>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</si>
  <si>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</si>
  <si>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</si>
  <si>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</si>
  <si>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</si>
  <si>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</si>
  <si>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</si>
  <si>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</si>
  <si>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</si>
  <si>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</si>
  <si>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</si>
  <si>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</si>
  <si>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</si>
  <si>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</si>
  <si>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</si>
  <si>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</si>
  <si>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</si>
  <si>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</si>
  <si>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</si>
  <si>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</si>
  <si>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</si>
  <si>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</si>
  <si>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</si>
  <si>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</si>
  <si>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</si>
  <si>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</si>
  <si>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</si>
  <si>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</si>
  <si>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</si>
  <si>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</si>
  <si>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</si>
  <si>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</si>
  <si>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</si>
  <si>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</si>
  <si>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</si>
  <si>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</si>
  <si>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</si>
  <si>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</si>
  <si>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</si>
  <si>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</si>
  <si>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</si>
  <si>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</si>
  <si>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</si>
  <si>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</si>
  <si>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</si>
  <si>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</si>
  <si>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</si>
  <si>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</si>
  <si>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</si>
  <si>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</si>
  <si>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</si>
  <si>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</si>
  <si>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</si>
  <si>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</si>
  <si>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</si>
  <si>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</si>
  <si>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</si>
  <si>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</si>
  <si>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</si>
  <si>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</si>
  <si>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</si>
  <si>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</si>
  <si>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</si>
  <si>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</si>
  <si>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</si>
  <si>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</si>
  <si>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</si>
  <si>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</si>
  <si>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</si>
  <si>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</si>
  <si>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</si>
  <si>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</si>
  <si>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</si>
  <si>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</si>
  <si>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</si>
  <si>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</si>
  <si>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</si>
  <si>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</si>
  <si>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</si>
  <si>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</si>
  <si>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</si>
  <si>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</si>
  <si>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</si>
  <si>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</si>
  <si>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</si>
  <si>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</si>
  <si>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</si>
  <si>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</si>
  <si>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</si>
  <si>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</si>
  <si>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</si>
  <si>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</si>
  <si>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</si>
  <si>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</si>
  <si>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</si>
  <si>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</si>
  <si>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</si>
  <si>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</si>
  <si>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</si>
  <si>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</si>
  <si>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</si>
  <si>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</si>
  <si>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</si>
  <si>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</si>
  <si>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</si>
  <si>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</si>
  <si>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</si>
  <si>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</si>
  <si>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</si>
  <si>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</si>
  <si>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</si>
  <si>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</si>
  <si>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</si>
  <si>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</si>
  <si>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</si>
  <si>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</si>
  <si>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</si>
  <si>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</si>
  <si>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</si>
  <si>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</si>
  <si>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</si>
  <si>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</si>
  <si>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</si>
  <si>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</si>
  <si>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</si>
  <si>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</si>
  <si>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</si>
  <si>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</si>
  <si>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</si>
  <si>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</si>
  <si>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</si>
  <si>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</si>
  <si>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</si>
  <si>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</si>
  <si>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</si>
  <si>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</si>
  <si>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</si>
  <si>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</si>
  <si>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</si>
  <si>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</si>
  <si>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</si>
  <si>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</si>
  <si>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</si>
  <si>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</si>
  <si>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</si>
  <si>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</si>
  <si>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</si>
  <si>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</si>
  <si>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</si>
  <si>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</si>
  <si>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</si>
  <si>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</si>
  <si>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</si>
  <si>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</si>
  <si>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</si>
  <si>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</si>
  <si>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</si>
  <si>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</si>
  <si>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</si>
  <si>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</si>
  <si>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</si>
  <si>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</si>
  <si>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</si>
  <si>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</si>
  <si>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</si>
  <si>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</si>
  <si>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</si>
  <si>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</si>
  <si>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</si>
  <si>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</si>
  <si>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</si>
  <si>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</si>
  <si>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</si>
  <si>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</si>
  <si>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</si>
  <si>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</si>
  <si>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</si>
  <si>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</si>
  <si>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</si>
  <si>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</si>
  <si>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</si>
  <si>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</si>
  <si>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</si>
  <si>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</si>
  <si>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</si>
  <si>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</si>
  <si>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</si>
  <si>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</si>
  <si>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</si>
  <si>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</si>
  <si>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</si>
  <si>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</si>
  <si>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</si>
  <si>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</si>
  <si>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</si>
  <si>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</si>
  <si>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</si>
  <si>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</si>
  <si>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</si>
  <si>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</si>
  <si>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</si>
  <si>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</si>
  <si>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</si>
  <si>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</si>
  <si>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</si>
  <si>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</si>
  <si>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</si>
  <si>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</si>
  <si>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</si>
  <si>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</si>
  <si>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</si>
  <si>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</si>
  <si>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</si>
  <si>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</si>
  <si>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</si>
  <si>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</si>
  <si>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</si>
  <si>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</si>
  <si>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</si>
  <si>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</si>
  <si>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</si>
  <si>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</si>
  <si>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</si>
  <si>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</si>
  <si>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</si>
  <si>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</si>
  <si>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</si>
  <si>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</si>
  <si>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</si>
  <si>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</si>
  <si>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</si>
  <si>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</si>
  <si>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</si>
  <si>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</si>
  <si>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</si>
  <si>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</si>
  <si>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</si>
  <si>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</si>
  <si>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</si>
  <si>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</si>
  <si>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</si>
  <si>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</si>
  <si>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</si>
  <si>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</si>
  <si>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</si>
  <si>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</si>
  <si>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</si>
  <si>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</si>
  <si>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</si>
  <si>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</si>
  <si>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</si>
  <si>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</si>
  <si>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</si>
  <si>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</si>
  <si>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</si>
  <si>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</si>
  <si>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</si>
  <si>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</si>
  <si>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</si>
  <si>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</si>
  <si>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</si>
  <si>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</si>
  <si>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</si>
  <si>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</si>
  <si>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</si>
  <si>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</si>
  <si>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</si>
  <si>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</si>
  <si>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</si>
  <si>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</si>
  <si>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</si>
  <si>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</si>
  <si>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</si>
  <si>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</si>
  <si>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</si>
  <si>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</si>
  <si>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</si>
  <si>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</si>
  <si>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</si>
  <si>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</si>
  <si>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</si>
  <si>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</si>
  <si>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</si>
  <si>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</si>
  <si>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</si>
  <si>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</si>
  <si>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</si>
  <si>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</si>
  <si>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</si>
  <si>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</si>
  <si>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</si>
  <si>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</si>
  <si>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</si>
  <si>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</si>
  <si>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</si>
  <si>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</si>
  <si>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</si>
  <si>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</si>
  <si>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</si>
  <si>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</si>
  <si>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</si>
  <si>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</si>
  <si>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</si>
  <si>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</si>
  <si>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</si>
  <si>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</si>
  <si>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</si>
  <si>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</si>
  <si>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</si>
  <si>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</si>
  <si>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</si>
  <si>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</si>
  <si>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</si>
  <si>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</si>
  <si>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</si>
  <si>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</si>
  <si>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</si>
  <si>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</si>
  <si>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</si>
  <si>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</si>
  <si>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</si>
  <si>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</si>
  <si>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</si>
  <si>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</si>
  <si>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</si>
  <si>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</si>
  <si>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</si>
  <si>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</si>
  <si>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</si>
  <si>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</si>
  <si>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</si>
  <si>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</si>
  <si>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</si>
  <si>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</si>
  <si>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</si>
  <si>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</si>
  <si>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</si>
  <si>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</si>
  <si>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</si>
  <si>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</si>
  <si>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</si>
  <si>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</si>
  <si>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</si>
  <si>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</si>
  <si>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</si>
  <si>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</si>
  <si>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</si>
  <si>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</si>
  <si>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</si>
  <si>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</si>
  <si>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</si>
  <si>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</si>
  <si>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</si>
  <si>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</si>
  <si>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</si>
  <si>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</si>
  <si>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</si>
  <si>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</si>
  <si>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</si>
  <si>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</si>
  <si>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</si>
  <si>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</si>
  <si>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</si>
  <si>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</si>
  <si>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</si>
  <si>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</si>
  <si>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</si>
  <si>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</si>
  <si>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</si>
  <si>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</si>
  <si>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</si>
  <si>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</si>
  <si>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</si>
  <si>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</si>
  <si>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</si>
  <si>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</si>
  <si>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</si>
  <si>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</si>
  <si>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</si>
  <si>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</si>
  <si>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</si>
  <si>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</si>
  <si>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</si>
  <si>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</si>
  <si>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</si>
  <si>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</si>
  <si>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</si>
  <si>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</si>
  <si>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</si>
  <si>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</si>
  <si>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</si>
  <si>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</si>
  <si>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</si>
  <si>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</si>
  <si>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</si>
  <si>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</si>
  <si>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</si>
  <si>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</si>
  <si>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</si>
  <si>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</si>
  <si>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</si>
  <si>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</si>
  <si>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</si>
  <si>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</si>
  <si>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</si>
  <si>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</si>
  <si>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</si>
  <si>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</si>
  <si>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</si>
  <si>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</si>
  <si>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</si>
  <si>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</si>
  <si>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</si>
  <si>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</si>
  <si>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</si>
  <si>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</si>
  <si>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</si>
  <si>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</si>
  <si>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</si>
  <si>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</si>
  <si>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</si>
  <si>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</si>
  <si>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</si>
  <si>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</si>
  <si>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</si>
  <si>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</si>
  <si>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</si>
  <si>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</si>
  <si>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</si>
  <si>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</si>
  <si>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</si>
  <si>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</si>
  <si>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</si>
  <si>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</si>
  <si>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</si>
  <si>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</si>
  <si>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</si>
  <si>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</si>
  <si>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</si>
  <si>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</si>
  <si>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</si>
  <si>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</si>
  <si>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</si>
  <si>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</si>
  <si>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</si>
  <si>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</si>
  <si>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</si>
  <si>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</si>
  <si>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</si>
  <si>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</si>
  <si>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</si>
  <si>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</si>
  <si>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</si>
  <si>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</si>
  <si>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</si>
  <si>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</si>
  <si>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</si>
  <si>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</si>
  <si>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</si>
  <si>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</si>
  <si>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</si>
  <si>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</si>
  <si>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</si>
  <si>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</si>
  <si>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</si>
  <si>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</si>
  <si>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</si>
  <si>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</si>
  <si>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</si>
  <si>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</si>
  <si>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</si>
  <si>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</si>
  <si>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</si>
  <si>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</si>
  <si>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</si>
  <si>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</si>
  <si>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</si>
  <si>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</si>
  <si>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</si>
  <si>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</si>
  <si>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</si>
  <si>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</si>
  <si>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</si>
  <si>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</si>
  <si>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</si>
  <si>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</si>
  <si>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</si>
  <si>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</si>
  <si>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</si>
  <si>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</si>
  <si>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</si>
  <si>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</si>
  <si>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</si>
  <si>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</si>
  <si>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</si>
  <si>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</si>
  <si>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</si>
  <si>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</si>
  <si>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</si>
  <si>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</si>
  <si>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</si>
  <si>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</si>
  <si>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</si>
  <si>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</si>
  <si>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</si>
  <si>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</si>
  <si>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</si>
  <si>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</si>
  <si>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</si>
  <si>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</si>
  <si>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</si>
  <si>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</si>
  <si>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</si>
  <si>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</si>
  <si>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</si>
  <si>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</si>
  <si>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</si>
  <si>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</si>
  <si>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</si>
  <si>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</si>
  <si>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</si>
  <si>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</si>
  <si>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</si>
  <si>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</si>
  <si>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</si>
  <si>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</si>
  <si>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</si>
  <si>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</si>
  <si>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</si>
  <si>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</si>
  <si>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</si>
  <si>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</si>
  <si>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</si>
  <si>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</si>
  <si>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</si>
  <si>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</si>
  <si>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</si>
  <si>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</si>
  <si>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</si>
  <si>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</si>
  <si>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</si>
  <si>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</si>
  <si>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</si>
  <si>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</si>
  <si>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</si>
  <si>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</si>
  <si>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</si>
  <si>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</si>
  <si>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</si>
  <si>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</si>
  <si>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</si>
  <si>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</si>
  <si>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</si>
  <si>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</si>
  <si>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</si>
  <si>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</si>
  <si>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</si>
  <si>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</si>
  <si>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</si>
  <si>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</si>
  <si>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</si>
  <si>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</si>
  <si>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</si>
  <si>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</si>
  <si>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</si>
  <si>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</si>
  <si>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</si>
  <si>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</si>
  <si>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</si>
  <si>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</si>
  <si>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</si>
  <si>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</si>
  <si>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</si>
  <si>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</si>
  <si>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</si>
  <si>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</si>
  <si>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</si>
  <si>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</si>
  <si>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</si>
  <si>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</si>
  <si>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</si>
  <si>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</si>
  <si>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</si>
  <si>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</si>
  <si>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</si>
  <si>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</si>
  <si>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</si>
  <si>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</si>
  <si>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</si>
  <si>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</si>
  <si>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</si>
  <si>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</si>
  <si>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</si>
  <si>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</si>
  <si>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</si>
  <si>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</si>
  <si>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</si>
  <si>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</si>
  <si>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</si>
  <si>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</si>
  <si>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</si>
  <si>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</si>
  <si>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</si>
  <si>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</si>
  <si>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</si>
  <si>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</si>
  <si>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</si>
  <si>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</si>
  <si>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</si>
  <si>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</si>
  <si>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</si>
  <si>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</si>
  <si>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</si>
  <si>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</si>
  <si>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</si>
  <si>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</si>
  <si>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</si>
  <si>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</si>
  <si>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</si>
  <si>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</si>
  <si>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</si>
  <si>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</si>
  <si>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</si>
  <si>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</si>
  <si>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</si>
  <si>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</si>
  <si>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</si>
  <si>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</si>
  <si>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</si>
  <si>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</si>
  <si>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</si>
  <si>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</si>
  <si>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</si>
  <si>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</si>
  <si>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</si>
  <si>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</si>
  <si>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</si>
  <si>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</si>
  <si>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</si>
  <si>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</si>
  <si>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</si>
  <si>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</si>
  <si>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</si>
  <si>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</si>
  <si>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</si>
  <si>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</si>
  <si>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</si>
  <si>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</si>
  <si>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</si>
  <si>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</si>
  <si>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</si>
  <si>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</si>
  <si>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</si>
  <si>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</si>
  <si>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</si>
  <si>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</si>
  <si>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</si>
  <si>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</si>
  <si>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</si>
  <si>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</si>
  <si>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</si>
  <si>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</si>
  <si>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</si>
  <si>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</si>
  <si>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</si>
  <si>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</si>
  <si>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</si>
  <si>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</si>
  <si>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</si>
  <si>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</si>
  <si>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</si>
  <si>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</si>
  <si>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</si>
  <si>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</si>
  <si>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</si>
  <si>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</si>
  <si>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</si>
  <si>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</si>
  <si>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</si>
  <si>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</si>
  <si>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</si>
  <si>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</si>
  <si>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</si>
  <si>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</si>
  <si>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</si>
  <si>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</si>
  <si>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</si>
  <si>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</si>
  <si>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</si>
  <si>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</si>
  <si>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</si>
  <si>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</si>
  <si>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</si>
  <si>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</si>
  <si>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</si>
  <si>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</si>
  <si>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</si>
  <si>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</si>
  <si>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</si>
  <si>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</si>
  <si>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</si>
  <si>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</si>
  <si>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</si>
  <si>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</si>
  <si>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</si>
  <si>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</si>
  <si>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</si>
  <si>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</si>
  <si>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</si>
  <si>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</si>
  <si>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</si>
  <si>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</si>
  <si>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</si>
  <si>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</si>
  <si>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</si>
  <si>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</si>
  <si>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</si>
  <si>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</si>
  <si>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</si>
  <si>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</si>
  <si>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</si>
  <si>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</si>
  <si>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</si>
  <si>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</si>
  <si>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</si>
  <si>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</si>
  <si>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</si>
  <si>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</si>
  <si>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</si>
  <si>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</si>
  <si>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</si>
  <si>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</si>
  <si>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</si>
  <si>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</si>
  <si>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</si>
  <si>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</si>
  <si>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</si>
  <si>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</si>
  <si>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</si>
  <si>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</si>
  <si>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</si>
  <si>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</si>
  <si>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</si>
  <si>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</si>
  <si>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</si>
  <si>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</si>
  <si>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</si>
  <si>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</si>
  <si>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</si>
  <si>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</si>
  <si>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</si>
  <si>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</si>
  <si>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</si>
  <si>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</si>
  <si>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</si>
  <si>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</si>
  <si>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</si>
  <si>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</si>
  <si>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</si>
  <si>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</si>
  <si>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</si>
  <si>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</si>
  <si>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</si>
  <si>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</si>
  <si>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</si>
  <si>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</si>
  <si>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</si>
  <si>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</si>
  <si>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</si>
  <si>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</si>
  <si>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</si>
  <si>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</si>
  <si>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</si>
  <si>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</si>
  <si>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</si>
  <si>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</si>
  <si>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</si>
  <si>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</si>
  <si>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</si>
  <si>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</si>
  <si>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</si>
  <si>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</si>
  <si>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</si>
  <si>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</si>
  <si>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</si>
  <si>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</si>
  <si>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</si>
  <si>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</si>
  <si>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</si>
  <si>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</si>
  <si>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</si>
  <si>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</si>
  <si>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</si>
  <si>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</si>
  <si>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</si>
  <si>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</si>
  <si>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</si>
  <si>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</si>
  <si>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</si>
  <si>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</si>
  <si>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</si>
  <si>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</si>
  <si>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</si>
  <si>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</si>
  <si>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</si>
  <si>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</si>
  <si>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</si>
  <si>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</si>
  <si>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</si>
  <si>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</si>
  <si>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</si>
  <si>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</si>
  <si>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</si>
  <si>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</si>
  <si>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</si>
  <si>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</si>
  <si>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</si>
  <si>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</si>
  <si>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</si>
  <si>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</si>
  <si>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</si>
  <si>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</si>
  <si>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</si>
  <si>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</si>
  <si>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</si>
  <si>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</si>
  <si>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</si>
  <si>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</si>
  <si>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</si>
  <si>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</si>
  <si>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</si>
  <si>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</si>
  <si>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</si>
  <si>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</si>
  <si>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</si>
  <si>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</si>
  <si>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</si>
  <si>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</si>
  <si>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</si>
  <si>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</si>
  <si>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</si>
  <si>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</si>
  <si>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</si>
  <si>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</si>
  <si>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</si>
  <si>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</si>
  <si>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</si>
  <si>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</si>
  <si>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</si>
  <si>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</si>
  <si>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</si>
  <si>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</si>
  <si>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</si>
  <si>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</si>
  <si>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</si>
  <si>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</si>
  <si>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</si>
  <si>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</si>
  <si>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</si>
  <si>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</si>
  <si>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</si>
  <si>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</si>
  <si>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</si>
  <si>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</si>
  <si>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</si>
  <si>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</si>
  <si>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</si>
  <si>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</si>
  <si>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</si>
  <si>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</si>
  <si>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</si>
  <si>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</si>
  <si>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</si>
  <si>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</si>
  <si>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</si>
  <si>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</si>
  <si>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</si>
  <si>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</si>
  <si>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</si>
  <si>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</si>
  <si>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</si>
  <si>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</si>
  <si>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</si>
  <si>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</si>
  <si>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</si>
  <si>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</si>
  <si>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</si>
  <si>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</si>
  <si>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</si>
  <si>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</si>
  <si>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</si>
  <si>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</si>
  <si>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</si>
  <si>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</si>
  <si>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</si>
  <si>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</si>
  <si>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</si>
  <si>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</si>
  <si>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</si>
  <si>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</si>
  <si>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</si>
  <si>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</si>
  <si>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</si>
  <si>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</si>
  <si>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</si>
  <si>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</si>
  <si>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</si>
  <si>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</si>
  <si>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</si>
  <si>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</si>
  <si>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</si>
  <si>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</si>
  <si>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</si>
  <si>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</si>
  <si>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</si>
  <si>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</si>
  <si>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</si>
  <si>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</si>
  <si>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</si>
  <si>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</si>
  <si>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</si>
  <si>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</si>
  <si>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</si>
  <si>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</si>
  <si>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</si>
  <si>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</si>
  <si>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</si>
  <si>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</si>
  <si>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</si>
  <si>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</si>
  <si>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</si>
  <si>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</si>
  <si>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</si>
  <si>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</si>
  <si>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</si>
  <si>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</si>
  <si>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</si>
  <si>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</si>
  <si>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</si>
  <si>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</si>
  <si>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</si>
  <si>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</si>
  <si>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</si>
  <si>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</si>
  <si>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</si>
  <si>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</si>
  <si>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</si>
  <si>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</si>
  <si>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</si>
  <si>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</si>
  <si>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</si>
  <si>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</si>
  <si>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</si>
  <si>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</si>
  <si>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</si>
  <si>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</si>
  <si>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</si>
  <si>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</si>
  <si>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</si>
  <si>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</si>
  <si>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</si>
  <si>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</si>
  <si>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</si>
  <si>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</si>
  <si>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</si>
  <si>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</si>
  <si>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</si>
  <si>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</si>
  <si>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</si>
  <si>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</si>
  <si>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</si>
  <si>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</si>
  <si>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</si>
  <si>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</si>
  <si>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</si>
  <si>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</si>
  <si>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</si>
  <si>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</si>
  <si>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</si>
  <si>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</si>
  <si>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</si>
  <si>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</si>
  <si>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</si>
  <si>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</si>
  <si>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</si>
  <si>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</si>
  <si>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</si>
  <si>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</si>
  <si>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</si>
  <si>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</si>
  <si>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</si>
  <si>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</si>
  <si>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</si>
  <si>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</si>
  <si>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</si>
  <si>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</si>
  <si>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</si>
  <si>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</si>
  <si>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</si>
  <si>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</si>
  <si>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</si>
  <si>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</si>
  <si>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</si>
  <si>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</si>
  <si>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</si>
  <si>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</si>
  <si>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</si>
  <si>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</si>
  <si>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</si>
  <si>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</si>
  <si>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</si>
  <si>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</si>
  <si>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</si>
  <si>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</si>
  <si>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</si>
  <si>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</si>
  <si>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</si>
  <si>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</si>
  <si>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</si>
  <si>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</si>
  <si>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</si>
  <si>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</si>
  <si>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</si>
  <si>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</si>
  <si>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</si>
  <si>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</si>
  <si>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</si>
  <si>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</si>
  <si>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</si>
  <si>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</si>
  <si>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</si>
  <si>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</si>
  <si>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</si>
  <si>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</si>
  <si>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</si>
  <si>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</si>
  <si>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</si>
  <si>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</si>
  <si>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</si>
  <si>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</si>
  <si>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</si>
  <si>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</si>
  <si>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</si>
  <si>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</si>
  <si>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</si>
  <si>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</si>
  <si>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</si>
  <si>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</si>
  <si>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</si>
  <si>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</si>
  <si>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</si>
  <si>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</si>
  <si>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</si>
  <si>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</si>
  <si>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</si>
  <si>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</si>
  <si>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</si>
  <si>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</si>
  <si>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</si>
  <si>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</si>
  <si>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</si>
  <si>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</si>
  <si>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</si>
  <si>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</si>
  <si>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</si>
  <si>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</si>
  <si>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</si>
  <si>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</si>
  <si>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</si>
  <si>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</si>
  <si>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</si>
  <si>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</si>
  <si>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</si>
  <si>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</si>
  <si>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</si>
  <si>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</si>
  <si>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</si>
  <si>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</si>
  <si>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</si>
  <si>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</si>
  <si>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</si>
  <si>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</si>
  <si>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</si>
  <si>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</si>
  <si>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</si>
  <si>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</si>
  <si>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</si>
  <si>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</si>
  <si>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</si>
  <si>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</si>
  <si>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</si>
  <si>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</si>
  <si>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</si>
  <si>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</si>
  <si>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</si>
  <si>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</si>
  <si>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</si>
  <si>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</si>
  <si>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</si>
  <si>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</si>
  <si>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</si>
  <si>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</si>
  <si>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</si>
  <si>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</si>
  <si>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</si>
  <si>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</si>
  <si>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</si>
  <si>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</si>
  <si>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</si>
  <si>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</si>
  <si>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</si>
  <si>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</si>
  <si>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</si>
  <si>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</si>
  <si>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</si>
  <si>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</si>
  <si>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</si>
  <si>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</si>
  <si>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</si>
  <si>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</si>
  <si>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</si>
  <si>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</si>
  <si>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</si>
  <si>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</si>
  <si>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</si>
  <si>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</si>
  <si>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</si>
  <si>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</si>
  <si>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</si>
  <si>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</si>
  <si>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</si>
  <si>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</si>
  <si>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</si>
  <si>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</si>
  <si>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</si>
  <si>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</si>
  <si>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</si>
  <si>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</si>
  <si>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</si>
  <si>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</si>
  <si>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</si>
  <si>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</si>
  <si>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</si>
  <si>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</si>
  <si>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</si>
  <si>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</si>
  <si>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</si>
  <si>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</si>
  <si>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</si>
  <si>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</si>
  <si>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</si>
  <si>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</si>
  <si>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</si>
  <si>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</si>
  <si>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</si>
  <si>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</si>
  <si>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</si>
  <si>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</si>
  <si>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</si>
  <si>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</si>
  <si>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</si>
  <si>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</si>
  <si>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</si>
  <si>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</si>
  <si>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</si>
  <si>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</si>
  <si>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</si>
  <si>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</si>
  <si>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</si>
  <si>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</si>
  <si>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</si>
  <si>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</si>
  <si>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</si>
  <si>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</si>
  <si>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</si>
  <si>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</si>
  <si>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</si>
  <si>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</si>
  <si>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</si>
  <si>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</si>
  <si>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</si>
  <si>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</si>
  <si>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</si>
  <si>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</si>
  <si>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</si>
  <si>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</si>
  <si>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</si>
  <si>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</si>
  <si>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</si>
  <si>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</si>
  <si>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</si>
  <si>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</si>
  <si>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</si>
  <si>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</si>
  <si>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</si>
  <si>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</si>
  <si>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</si>
  <si>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</si>
  <si>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</si>
  <si>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</si>
  <si>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</si>
  <si>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</si>
  <si>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</si>
  <si>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</si>
  <si>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</si>
  <si>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</si>
  <si>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</si>
  <si>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</si>
  <si>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</si>
  <si>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</si>
  <si>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</si>
  <si>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</si>
  <si>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</si>
  <si>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</si>
  <si>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</si>
  <si>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</si>
  <si>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</si>
  <si>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</si>
  <si>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</si>
  <si>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</si>
  <si>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</si>
  <si>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</si>
  <si>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</si>
  <si>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</si>
  <si>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</si>
  <si>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</si>
  <si>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</si>
  <si>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</si>
  <si>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</si>
  <si>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</si>
  <si>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</si>
  <si>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</si>
  <si>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</si>
  <si>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</si>
  <si>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</si>
  <si>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</si>
  <si>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</si>
  <si>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</si>
  <si>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</si>
  <si>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</si>
  <si>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</si>
  <si>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</si>
  <si>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</si>
  <si>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</si>
  <si>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</si>
  <si>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</si>
  <si>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</si>
  <si>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</si>
  <si>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</si>
  <si>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</si>
  <si>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</si>
  <si>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</si>
  <si>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</si>
  <si>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</si>
  <si>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</si>
  <si>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</si>
  <si>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</si>
  <si>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</si>
  <si>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</si>
  <si>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</si>
  <si>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</si>
  <si>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</si>
  <si>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</si>
  <si>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</si>
  <si>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</si>
  <si>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</si>
  <si>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</si>
  <si>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</si>
  <si>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</si>
  <si>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</si>
  <si>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</si>
  <si>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</si>
  <si>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</si>
  <si>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</si>
  <si>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</si>
  <si>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</si>
  <si>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</si>
  <si>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</si>
  <si>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</si>
  <si>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</si>
  <si>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</si>
  <si>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</si>
  <si>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</si>
  <si>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</si>
  <si>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</si>
  <si>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</si>
  <si>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</si>
  <si>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</si>
  <si>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</si>
  <si>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</si>
  <si>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</si>
  <si>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</si>
  <si>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</si>
  <si>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</si>
  <si>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</si>
  <si>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</si>
  <si>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</si>
  <si>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</si>
  <si>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</si>
  <si>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</si>
  <si>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</si>
  <si>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</si>
  <si>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</si>
  <si>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</si>
  <si>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</si>
  <si>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</si>
  <si>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</si>
  <si>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</si>
  <si>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</si>
  <si>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</si>
  <si>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</si>
  <si>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</si>
  <si>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</si>
  <si>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</si>
  <si>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</si>
  <si>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</si>
  <si>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</si>
  <si>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</si>
  <si>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</si>
  <si>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</si>
  <si>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</si>
  <si>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</si>
  <si>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</si>
  <si>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</si>
  <si>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</si>
  <si>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</si>
  <si>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</si>
  <si>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</si>
  <si>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</si>
  <si>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</si>
  <si>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</si>
  <si>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</si>
  <si>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</si>
  <si>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</si>
  <si>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</si>
  <si>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</si>
  <si>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</si>
  <si>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</si>
  <si>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</si>
  <si>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</si>
  <si>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</si>
  <si>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</si>
  <si>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</si>
  <si>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</si>
  <si>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</si>
  <si>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</si>
  <si>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</si>
  <si>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</si>
  <si>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</si>
  <si>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</si>
  <si>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</si>
  <si>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</si>
  <si>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</si>
  <si>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</si>
  <si>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</si>
  <si>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</si>
  <si>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</si>
  <si>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</si>
  <si>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</si>
  <si>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</si>
  <si>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</si>
  <si>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</si>
  <si>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</si>
  <si>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</si>
  <si>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</si>
  <si>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</si>
  <si>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</si>
  <si>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</si>
  <si>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</si>
  <si>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</si>
  <si>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</si>
  <si>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</si>
  <si>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</si>
  <si>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</si>
  <si>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</si>
  <si>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</si>
  <si>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</si>
  <si>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</si>
  <si>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</si>
  <si>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</si>
  <si>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</si>
  <si>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</si>
  <si>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</si>
  <si>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</si>
  <si>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</si>
  <si>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</si>
  <si>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</si>
  <si>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</si>
  <si>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</si>
  <si>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</si>
  <si>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</si>
  <si>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</si>
  <si>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</si>
  <si>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</si>
  <si>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</si>
  <si>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</si>
  <si>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</si>
  <si>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</si>
  <si>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</si>
  <si>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</si>
  <si>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</si>
  <si>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</si>
  <si>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</si>
  <si>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</si>
  <si>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</si>
  <si>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</si>
  <si>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</si>
  <si>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</si>
  <si>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</si>
  <si>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</si>
  <si>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</si>
  <si>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</si>
  <si>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</si>
  <si>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</si>
  <si>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</si>
  <si>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</si>
  <si>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</si>
  <si>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</si>
  <si>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</si>
  <si>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</si>
  <si>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</si>
  <si>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</si>
  <si>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</si>
  <si>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</si>
  <si>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</si>
  <si>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</si>
  <si>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</si>
  <si>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</si>
  <si>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</si>
  <si>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</si>
  <si>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</si>
  <si>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</si>
  <si>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</si>
  <si>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</si>
  <si>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</si>
  <si>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</si>
  <si>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</si>
  <si>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</si>
  <si>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</si>
  <si>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</si>
  <si>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</si>
  <si>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</si>
  <si>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</si>
  <si>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</si>
  <si>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</si>
  <si>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</si>
  <si>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</si>
  <si>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</si>
  <si>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</si>
  <si>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</si>
  <si>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</si>
  <si>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</si>
  <si>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</si>
  <si>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</si>
  <si>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</si>
  <si>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</si>
  <si>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</si>
  <si>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</si>
  <si>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</si>
  <si>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</si>
  <si>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</si>
  <si>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</si>
  <si>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</si>
  <si>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</si>
  <si>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</si>
  <si>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</si>
  <si>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</si>
  <si>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</si>
  <si>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</si>
  <si>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</si>
  <si>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</si>
  <si>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</si>
  <si>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</si>
  <si>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</si>
  <si>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</si>
  <si>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</si>
  <si>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</si>
  <si>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</si>
  <si>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</si>
  <si>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</si>
  <si>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</si>
  <si>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</si>
  <si>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</si>
  <si>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</si>
  <si>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</si>
  <si>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</si>
  <si>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</si>
  <si>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</si>
  <si>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</si>
  <si>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</si>
  <si>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</si>
  <si>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</si>
  <si>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</si>
  <si>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</si>
  <si>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</si>
  <si>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</si>
  <si>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</si>
  <si>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</si>
  <si>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</si>
  <si>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</si>
  <si>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</si>
  <si>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</si>
  <si>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</si>
  <si>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</si>
  <si>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</si>
  <si>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</si>
  <si>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</si>
  <si>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</si>
  <si>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</si>
  <si>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</si>
  <si>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</si>
  <si>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</si>
  <si>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</si>
  <si>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</si>
  <si>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</si>
  <si>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</si>
  <si>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</si>
  <si>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</si>
  <si>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</si>
  <si>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</si>
  <si>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</si>
  <si>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</si>
  <si>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</si>
  <si>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</si>
  <si>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</si>
  <si>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</si>
  <si>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</si>
  <si>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</si>
  <si>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</si>
  <si>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</si>
  <si>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</si>
  <si>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</si>
  <si>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</si>
  <si>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</si>
  <si>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</si>
  <si>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</si>
  <si>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</si>
  <si>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</si>
  <si>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</si>
  <si>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</si>
  <si>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</si>
  <si>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</si>
  <si>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</si>
  <si>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</si>
  <si>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</si>
  <si>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</si>
  <si>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</si>
  <si>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</si>
  <si>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</si>
  <si>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</si>
  <si>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</si>
  <si>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</si>
  <si>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</si>
  <si>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</si>
  <si>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</si>
  <si>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</si>
  <si>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</si>
  <si>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</si>
  <si>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</si>
  <si>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</si>
  <si>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</si>
  <si>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</si>
  <si>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</si>
  <si>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</si>
  <si>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</si>
  <si>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</si>
  <si>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</si>
  <si>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</si>
  <si>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</si>
  <si>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</si>
  <si>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</si>
  <si>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</si>
  <si>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</si>
  <si>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</si>
  <si>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</si>
  <si>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</si>
  <si>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</si>
  <si>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</si>
  <si>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</si>
  <si>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</si>
  <si>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</si>
  <si>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</si>
  <si>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</si>
  <si>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</si>
  <si>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</si>
  <si>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</si>
  <si>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</si>
  <si>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</si>
  <si>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</si>
  <si>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</si>
  <si>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</si>
  <si>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</si>
  <si>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</si>
  <si>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</si>
  <si>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</si>
  <si>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</si>
  <si>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</si>
  <si>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</si>
  <si>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</si>
  <si>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</si>
  <si>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</si>
  <si>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</si>
  <si>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</si>
  <si>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</si>
  <si>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</si>
  <si>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</si>
  <si>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</si>
  <si>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</si>
  <si>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</si>
  <si>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</si>
  <si>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</si>
  <si>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</si>
  <si>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</si>
  <si>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</si>
  <si>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</si>
  <si>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</si>
  <si>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</si>
  <si>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</si>
  <si>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</si>
  <si>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</si>
  <si>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</si>
  <si>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</si>
  <si>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</si>
  <si>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</si>
  <si>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</si>
  <si>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</si>
  <si>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</si>
  <si>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</si>
  <si>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</si>
  <si>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</si>
  <si>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</si>
  <si>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</si>
  <si>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</si>
  <si>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</si>
  <si>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</si>
  <si>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</si>
  <si>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</si>
  <si>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</si>
  <si>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</si>
  <si>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</si>
  <si>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</si>
  <si>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</si>
  <si>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</si>
  <si>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</si>
  <si>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</si>
  <si>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</si>
  <si>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</si>
  <si>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</si>
  <si>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</si>
  <si>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</si>
  <si>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</si>
  <si>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</si>
  <si>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</si>
  <si>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</si>
  <si>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</si>
  <si>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</si>
  <si>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</si>
  <si>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</si>
  <si>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</si>
  <si>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</si>
  <si>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</si>
  <si>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</si>
  <si>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</si>
  <si>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</si>
  <si>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</si>
  <si>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</si>
  <si>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</si>
  <si>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</si>
  <si>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</si>
  <si>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</si>
  <si>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</si>
  <si>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</si>
  <si>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</si>
  <si>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</si>
  <si>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</si>
  <si>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</si>
  <si>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</si>
  <si>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</si>
  <si>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</si>
  <si>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</si>
  <si>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</si>
  <si>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</si>
  <si>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</si>
  <si>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</si>
  <si>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</si>
  <si>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</si>
  <si>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</si>
  <si>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</si>
  <si>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</si>
  <si>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</si>
  <si>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</si>
  <si>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</si>
  <si>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</si>
  <si>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</si>
  <si>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</si>
  <si>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</si>
  <si>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</si>
  <si>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</si>
  <si>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</si>
  <si>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</si>
  <si>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</si>
  <si>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</si>
  <si>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</si>
  <si>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</si>
  <si>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</si>
  <si>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</si>
  <si>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</si>
  <si>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</si>
  <si>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</si>
  <si>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</si>
  <si>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</si>
  <si>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</si>
  <si>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</si>
  <si>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</si>
  <si>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</si>
  <si>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</si>
  <si>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</si>
  <si>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</si>
  <si>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</si>
  <si>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</si>
  <si>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</si>
  <si>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</si>
  <si>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</si>
  <si>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</si>
  <si>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</si>
  <si>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</si>
  <si>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</si>
  <si>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</si>
  <si>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</si>
  <si>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</si>
  <si>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</si>
  <si>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</si>
  <si>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</si>
  <si>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</si>
  <si>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</si>
  <si>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</si>
  <si>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</si>
  <si>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</si>
  <si>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</si>
  <si>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</si>
  <si>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</si>
  <si>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</si>
  <si>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</si>
  <si>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</si>
  <si>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</si>
  <si>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</si>
  <si>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</si>
  <si>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</si>
  <si>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</si>
  <si>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</si>
  <si>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</si>
  <si>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</si>
  <si>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</si>
  <si>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</si>
  <si>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</si>
  <si>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</si>
  <si>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</si>
  <si>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</si>
  <si>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</si>
  <si>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</si>
  <si>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</si>
  <si>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</si>
  <si>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</si>
  <si>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</si>
  <si>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</si>
  <si>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</si>
  <si>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</si>
  <si>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</si>
  <si>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</si>
  <si>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</si>
  <si>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</si>
  <si>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</si>
  <si>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</si>
  <si>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</si>
  <si>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</si>
  <si>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</si>
  <si>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</si>
  <si>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</si>
  <si>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</si>
  <si>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</si>
  <si>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</si>
  <si>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</si>
  <si>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</si>
  <si>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</si>
  <si>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</si>
  <si>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</si>
  <si>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</si>
  <si>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</si>
  <si>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</si>
  <si>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</si>
  <si>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</si>
  <si>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</si>
  <si>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</si>
  <si>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</si>
  <si>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</si>
  <si>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</si>
  <si>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</si>
  <si>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</si>
  <si>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</si>
  <si>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</si>
  <si>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</si>
  <si>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</si>
  <si>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</si>
  <si>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</si>
  <si>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</si>
  <si>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</si>
  <si>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</si>
  <si>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</si>
  <si>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</si>
  <si>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</si>
  <si>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</si>
  <si>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</si>
  <si>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</si>
  <si>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</si>
  <si>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</si>
  <si>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</si>
  <si>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</si>
  <si>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</si>
  <si>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</si>
  <si>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</si>
  <si>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</si>
  <si>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</si>
  <si>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</si>
  <si>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</si>
  <si>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</si>
  <si>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</si>
  <si>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</si>
  <si>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</si>
  <si>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</si>
  <si>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</si>
  <si>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</si>
  <si>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</si>
  <si>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</si>
  <si>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</si>
  <si>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</si>
  <si>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</si>
  <si>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</si>
  <si>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</si>
  <si>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</si>
  <si>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</si>
  <si>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</si>
  <si>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</si>
  <si>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</si>
  <si>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</si>
  <si>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</si>
  <si>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</si>
  <si>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</si>
  <si>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</si>
  <si>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</si>
  <si>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</si>
  <si>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</si>
  <si>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</si>
  <si>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</si>
  <si>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</si>
  <si>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</si>
  <si>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</si>
  <si>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</si>
  <si>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</si>
  <si>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</si>
  <si>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</si>
  <si>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</si>
  <si>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</si>
  <si>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</si>
  <si>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</si>
  <si>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</si>
  <si>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</si>
  <si>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</si>
  <si>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</si>
  <si>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</si>
  <si>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</si>
  <si>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</si>
  <si>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</si>
  <si>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</si>
  <si>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</si>
  <si>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</si>
  <si>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</si>
  <si>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</si>
  <si>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</si>
  <si>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</si>
  <si>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</si>
  <si>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</si>
  <si>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</si>
  <si>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</si>
  <si>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</si>
  <si>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</si>
  <si>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</si>
  <si>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</si>
  <si>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</si>
  <si>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</si>
  <si>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</si>
  <si>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</si>
  <si>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</si>
  <si>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</si>
  <si>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</si>
  <si>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</si>
  <si>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</si>
  <si>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</si>
  <si>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</si>
  <si>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</si>
  <si>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</si>
  <si>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</si>
  <si>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</si>
  <si>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</si>
  <si>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</si>
  <si>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</si>
  <si>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</si>
  <si>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</si>
  <si>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</si>
  <si>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</si>
  <si>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</si>
  <si>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</si>
  <si>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</si>
  <si>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</si>
  <si>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</si>
  <si>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</si>
  <si>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</si>
  <si>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</si>
  <si>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</si>
  <si>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</si>
  <si>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</si>
  <si>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</si>
  <si>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</si>
  <si>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</si>
  <si>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</si>
  <si>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</si>
  <si>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</si>
  <si>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</si>
  <si>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</si>
  <si>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</si>
  <si>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</si>
  <si>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</si>
  <si>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</si>
  <si>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</si>
  <si>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</si>
  <si>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</si>
  <si>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</si>
  <si>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</si>
  <si>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</si>
  <si>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</si>
  <si>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</si>
  <si>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</si>
  <si>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</si>
  <si>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</si>
  <si>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</si>
  <si>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</si>
  <si>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</si>
  <si>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</si>
  <si>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</si>
  <si>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</si>
  <si>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</si>
  <si>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</si>
  <si>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</si>
  <si>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</si>
  <si>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</si>
  <si>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</si>
  <si>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</si>
  <si>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</si>
  <si>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</si>
  <si>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</si>
  <si>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</si>
  <si>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</si>
  <si>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</si>
  <si>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</si>
  <si>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</si>
  <si>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</si>
  <si>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</si>
  <si>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</si>
  <si>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</si>
  <si>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</si>
  <si>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</si>
  <si>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</si>
  <si>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</si>
  <si>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</si>
  <si>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</si>
  <si>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</si>
  <si>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</si>
  <si>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</si>
  <si>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</si>
  <si>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</si>
  <si>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</si>
  <si>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</si>
  <si>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</si>
  <si>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</si>
  <si>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</si>
  <si>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</si>
  <si>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</si>
  <si>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</si>
  <si>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</si>
  <si>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</si>
  <si>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</si>
  <si>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</si>
  <si>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</si>
  <si>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</si>
  <si>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</si>
  <si>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</si>
  <si>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</si>
  <si>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</si>
  <si>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</si>
  <si>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</si>
  <si>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</si>
  <si>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</si>
  <si>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</si>
  <si>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</si>
  <si>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</si>
  <si>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</si>
  <si>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</si>
  <si>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</si>
  <si>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</si>
  <si>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</si>
  <si>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</si>
  <si>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</si>
  <si>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</si>
  <si>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</si>
  <si>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</si>
  <si>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</si>
  <si>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</si>
  <si>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</si>
  <si>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</si>
  <si>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</si>
  <si>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</si>
  <si>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</si>
  <si>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</si>
  <si>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</si>
  <si>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</si>
  <si>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</si>
  <si>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</si>
  <si>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</si>
  <si>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</si>
  <si>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</si>
  <si>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</si>
  <si>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</si>
  <si>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</si>
  <si>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</si>
  <si>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</si>
  <si>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</si>
  <si>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</si>
  <si>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</si>
  <si>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</si>
  <si>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</si>
  <si>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</si>
  <si>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</si>
  <si>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</si>
  <si>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</si>
  <si>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</si>
  <si>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</si>
  <si>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</si>
  <si>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</si>
  <si>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</si>
  <si>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</si>
  <si>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</si>
  <si>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</si>
  <si>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</si>
  <si>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</si>
  <si>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</si>
  <si>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</si>
  <si>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</si>
  <si>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</si>
  <si>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</si>
  <si>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</si>
  <si>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</si>
  <si>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</si>
  <si>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</si>
  <si>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</si>
  <si>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</si>
  <si>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</si>
  <si>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</si>
  <si>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</si>
  <si>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</si>
  <si>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</si>
  <si>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</si>
  <si>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</si>
  <si>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</si>
  <si>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</si>
  <si>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</si>
  <si>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</si>
  <si>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</si>
  <si>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</si>
  <si>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</si>
  <si>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</si>
  <si>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</si>
  <si>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</si>
  <si>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</si>
  <si>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</si>
  <si>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</si>
  <si>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</si>
  <si>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</si>
  <si>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</si>
  <si>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</si>
  <si>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</si>
  <si>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</si>
  <si>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</si>
  <si>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</si>
  <si>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</si>
  <si>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</si>
  <si>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</si>
  <si>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</si>
  <si>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</si>
  <si>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</si>
  <si>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</si>
  <si>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</si>
  <si>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</si>
  <si>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</si>
  <si>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</si>
  <si>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</si>
  <si>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</si>
  <si>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</si>
  <si>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</si>
  <si>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</si>
  <si>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</si>
  <si>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</si>
  <si>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</si>
  <si>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</si>
  <si>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</si>
  <si>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</si>
  <si>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</si>
  <si>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</si>
  <si>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</si>
  <si>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</si>
  <si>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</si>
  <si>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</si>
  <si>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</si>
  <si>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</si>
  <si>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</si>
  <si>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</si>
  <si>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</si>
  <si>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</si>
  <si>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</si>
  <si>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</si>
  <si>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</si>
  <si>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</si>
  <si>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</si>
  <si>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</si>
  <si>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</si>
  <si>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</si>
  <si>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</si>
  <si>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</si>
  <si>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</si>
  <si>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</si>
  <si>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</si>
  <si>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</si>
  <si>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</si>
  <si>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</si>
  <si>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</si>
  <si>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</si>
  <si>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</si>
  <si>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</si>
  <si>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</si>
  <si>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</si>
  <si>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</si>
  <si>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</si>
  <si>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</si>
  <si>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</si>
  <si>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</si>
  <si>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</si>
  <si>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</si>
  <si>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</si>
  <si>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</si>
  <si>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</si>
  <si>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</si>
  <si>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</si>
  <si>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</si>
  <si>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</si>
  <si>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</si>
  <si>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</si>
  <si>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</si>
  <si>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</si>
  <si>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</si>
  <si>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</si>
  <si>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</si>
  <si>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</si>
  <si>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</si>
  <si>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</si>
  <si>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</si>
  <si>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</si>
  <si>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</si>
  <si>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</si>
  <si>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</si>
  <si>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</si>
  <si>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</si>
  <si>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</si>
  <si>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</si>
  <si>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</si>
  <si>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</si>
  <si>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</si>
  <si>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</si>
  <si>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</si>
  <si>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</si>
  <si>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</si>
  <si>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</si>
  <si>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</si>
  <si>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</si>
  <si>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</si>
  <si>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</si>
  <si>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</si>
  <si>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</si>
  <si>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</si>
  <si>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</si>
  <si>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</si>
  <si>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</si>
  <si>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</si>
  <si>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</si>
  <si>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</si>
  <si>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</si>
  <si>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</si>
  <si>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</si>
  <si>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</si>
  <si>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</si>
  <si>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</si>
  <si>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</si>
  <si>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</si>
  <si>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</si>
  <si>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</si>
  <si>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</si>
  <si>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</si>
  <si>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</si>
  <si>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</si>
  <si>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</si>
  <si>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</si>
  <si>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</si>
  <si>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</si>
  <si>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</si>
  <si>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</si>
  <si>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</si>
  <si>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</si>
  <si>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</si>
  <si>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</si>
  <si>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</si>
  <si>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</si>
  <si>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</si>
  <si>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</si>
  <si>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</si>
  <si>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</si>
  <si>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</si>
  <si>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</si>
  <si>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</si>
  <si>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</si>
  <si>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</si>
  <si>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</si>
  <si>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</si>
  <si>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</si>
  <si>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</si>
  <si>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</si>
  <si>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</si>
  <si>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</si>
  <si>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</si>
  <si>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</si>
  <si>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</si>
  <si>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</si>
  <si>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</si>
  <si>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</si>
  <si>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</si>
  <si>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</si>
  <si>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</si>
  <si>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</si>
  <si>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</si>
  <si>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</si>
  <si>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</si>
  <si>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</si>
  <si>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</si>
  <si>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</si>
  <si>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</si>
  <si>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</si>
  <si>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</si>
  <si>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</si>
  <si>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</si>
  <si>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</si>
  <si>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</si>
  <si>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</si>
  <si>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</si>
  <si>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</si>
  <si>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</si>
  <si>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</si>
  <si>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</si>
  <si>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</si>
  <si>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</si>
  <si>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</si>
  <si>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</si>
  <si>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</si>
  <si>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</si>
  <si>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</si>
  <si>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</si>
  <si>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</si>
  <si>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</si>
  <si>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</si>
  <si>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</si>
  <si>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</si>
  <si>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</si>
  <si>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</si>
  <si>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</si>
  <si>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</si>
  <si>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</si>
  <si>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</si>
  <si>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</si>
  <si>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February 13, 2024 Version</t>
  </si>
  <si>
    <t>The Coachella Valley Housing Coalition</t>
  </si>
  <si>
    <t>JFM Villas Family Apartments</t>
  </si>
  <si>
    <t>Pedro S. G. Rodriguez</t>
  </si>
  <si>
    <t>Executive Director</t>
  </si>
  <si>
    <t>City of Indio</t>
  </si>
  <si>
    <t>Bryan Montgomery</t>
  </si>
  <si>
    <t xml:space="preserve">100 Civic Center Mall </t>
  </si>
  <si>
    <t>Indio</t>
  </si>
  <si>
    <t>760-391-4000</t>
  </si>
  <si>
    <t>760-391-4008</t>
  </si>
  <si>
    <t>bmontgomery@indio.org</t>
  </si>
  <si>
    <t xml:space="preserve">47155 Van Buren St. </t>
  </si>
  <si>
    <t>Parcel B 612-170-013</t>
  </si>
  <si>
    <t>40%/60%</t>
  </si>
  <si>
    <t xml:space="preserve">45701 Monroe Street </t>
  </si>
  <si>
    <t xml:space="preserve">Ca </t>
  </si>
  <si>
    <t>Mary Ann Ybarra</t>
  </si>
  <si>
    <t>760-347-3157</t>
  </si>
  <si>
    <t>760-347-6466</t>
  </si>
  <si>
    <t>maryann.ybarra@cvhc.org</t>
  </si>
  <si>
    <t xml:space="preserve">JFM Villas Family LLC </t>
  </si>
  <si>
    <t>Managing GP</t>
  </si>
  <si>
    <t>760-342-6466</t>
  </si>
  <si>
    <t>pedro.rodriguez@cvhc.org</t>
  </si>
  <si>
    <t xml:space="preserve">Community Economics, Inc. </t>
  </si>
  <si>
    <t>539 9th Street. Ste, 900</t>
  </si>
  <si>
    <t>Oakland</t>
  </si>
  <si>
    <t>Elissa Dennis</t>
  </si>
  <si>
    <t>510-832-2227</t>
  </si>
  <si>
    <t>edennis@communityeconomics.org</t>
  </si>
  <si>
    <t>Financial Consultant</t>
  </si>
  <si>
    <t>Y&amp;M Architect</t>
  </si>
  <si>
    <t>45701 Monroe Street Ste. G</t>
  </si>
  <si>
    <t>Indio, Ca 92201</t>
  </si>
  <si>
    <t>Los Angeles, Ca 90012</t>
  </si>
  <si>
    <t xml:space="preserve">Ryan Yanatiga </t>
  </si>
  <si>
    <t>213-623-2107</t>
  </si>
  <si>
    <t>ryanagita@ymarch.com</t>
  </si>
  <si>
    <t xml:space="preserve">Gubb and Barshay </t>
  </si>
  <si>
    <t>235 Montgomery St. Ste. 111</t>
  </si>
  <si>
    <t>San Francisco, Ca 94104</t>
  </si>
  <si>
    <t xml:space="preserve">Nicole Kline </t>
  </si>
  <si>
    <t>415-781-6600</t>
  </si>
  <si>
    <t>nkline@gubbandbarshay.com</t>
  </si>
  <si>
    <t xml:space="preserve">Green Dinosaur </t>
  </si>
  <si>
    <t>8695 Washington Blvd., Ste. 205</t>
  </si>
  <si>
    <t>Culver City, Ca 90232</t>
  </si>
  <si>
    <t xml:space="preserve">Shane Hansen </t>
  </si>
  <si>
    <t>213-455-3311</t>
  </si>
  <si>
    <t>213-221-4733</t>
  </si>
  <si>
    <t>shansen@greendinosaur.org</t>
  </si>
  <si>
    <t>Thomas Tomaszewski, CPA</t>
  </si>
  <si>
    <t xml:space="preserve">3811 Tilden Drive </t>
  </si>
  <si>
    <t>El Dorado Hills, Ca 95762</t>
  </si>
  <si>
    <t>Thomas Tomaszewski</t>
  </si>
  <si>
    <t>916-933-7247</t>
  </si>
  <si>
    <t>tom.tomaszewski@sbcglobal.net</t>
  </si>
  <si>
    <t>Community Economics</t>
  </si>
  <si>
    <t>Laurin Associates</t>
  </si>
  <si>
    <t>539 9th St., Ste 900</t>
  </si>
  <si>
    <t xml:space="preserve">1501 Sports Drive, Ste. A </t>
  </si>
  <si>
    <t>Oakland, Ca 94607</t>
  </si>
  <si>
    <t>Sacramento, Ca 95834</t>
  </si>
  <si>
    <t xml:space="preserve">Elissa Dennis </t>
  </si>
  <si>
    <t xml:space="preserve">Stefanie Williams </t>
  </si>
  <si>
    <t>510-832-8300</t>
  </si>
  <si>
    <t>916-372-6100</t>
  </si>
  <si>
    <t>916-419-6108</t>
  </si>
  <si>
    <t>edennis@communityeconomics.com</t>
  </si>
  <si>
    <t>swilliams@laurinassociates.com</t>
  </si>
  <si>
    <t xml:space="preserve">Bluewater Appraisal Services </t>
  </si>
  <si>
    <t xml:space="preserve">7216 Manzanita St. </t>
  </si>
  <si>
    <t>Carlsbad, Ca 92011</t>
  </si>
  <si>
    <t>Shawn Horn</t>
  </si>
  <si>
    <t>760-583-0832</t>
  </si>
  <si>
    <t>shawn@bluewaterappraisals.com</t>
  </si>
  <si>
    <t xml:space="preserve">California Municipal Finance Authority </t>
  </si>
  <si>
    <t>Hyder &amp; Company</t>
  </si>
  <si>
    <t>2111 Palomar Airport Rd., Ste. 320</t>
  </si>
  <si>
    <t>John Stoecker</t>
  </si>
  <si>
    <t>760-930-1221</t>
  </si>
  <si>
    <t>760-683-3390</t>
  </si>
  <si>
    <t>1649 Capalina Rd., Ste. 500</t>
  </si>
  <si>
    <t>San Marcos, Ca 92069</t>
  </si>
  <si>
    <t>Steve Margetic</t>
  </si>
  <si>
    <t>760-591-9737</t>
  </si>
  <si>
    <t>760-591-9784</t>
  </si>
  <si>
    <t>smargetic@hyderco.com</t>
  </si>
  <si>
    <t>jstoecker@cmfa-ca.com</t>
  </si>
  <si>
    <t xml:space="preserve">The Coachella Valley Housing Coalition </t>
  </si>
  <si>
    <t xml:space="preserve">Pedro S. G. Rodriguez </t>
  </si>
  <si>
    <t xml:space="preserve">45701 Monroe Street. Ste. G </t>
  </si>
  <si>
    <t>One or Two Story Garden</t>
  </si>
  <si>
    <t xml:space="preserve">Development will include both a community room and a childcare center. </t>
  </si>
  <si>
    <t>Specific Plan</t>
  </si>
  <si>
    <t>Specific Plan - Residential 20du/ac</t>
  </si>
  <si>
    <t>2 story</t>
  </si>
  <si>
    <t xml:space="preserve">Bank of America N.A. </t>
  </si>
  <si>
    <t>HCD - FWHG</t>
  </si>
  <si>
    <t xml:space="preserve">Bank of America, N.A. </t>
  </si>
  <si>
    <t>HCD-MHP</t>
  </si>
  <si>
    <t>HCD-FWHG</t>
  </si>
  <si>
    <t>GP Equity</t>
  </si>
  <si>
    <t>20 yrs from ops start</t>
  </si>
  <si>
    <t>Hyder and Company</t>
  </si>
  <si>
    <t xml:space="preserve">HCD - Serna </t>
  </si>
  <si>
    <t xml:space="preserve">HCD - MHP </t>
  </si>
  <si>
    <t>April</t>
  </si>
  <si>
    <t>255 S. Santa Fe Ave. #103</t>
  </si>
  <si>
    <t>HCD - Joe Serna Jr. FWHG</t>
  </si>
  <si>
    <t>HCD - Multifamily Housing Program</t>
  </si>
  <si>
    <t>TCAC-CDLAC</t>
  </si>
  <si>
    <t>Fixed</t>
  </si>
  <si>
    <t>333 S. Hope St., 20th Floor</t>
  </si>
  <si>
    <t>Daniel Rodriguez</t>
  </si>
  <si>
    <t>213-621-7514</t>
  </si>
  <si>
    <t xml:space="preserve">tax exempt construction loan </t>
  </si>
  <si>
    <t>SOFR</t>
  </si>
  <si>
    <t xml:space="preserve">taxable construction loan </t>
  </si>
  <si>
    <t>2020 W. El Camino Ave. Ste. 670</t>
  </si>
  <si>
    <t>Gustavo Velasquez</t>
  </si>
  <si>
    <t>916-263-2771</t>
  </si>
  <si>
    <t xml:space="preserve">residual receipts loan </t>
  </si>
  <si>
    <t>equity</t>
  </si>
  <si>
    <t>Electric non SCE</t>
  </si>
  <si>
    <t>Housing Authority of Riverside County</t>
  </si>
  <si>
    <t>HCD-Serna</t>
  </si>
  <si>
    <t>County of Riverside</t>
  </si>
  <si>
    <t>Project-based vouchers (PBVs)</t>
  </si>
  <si>
    <t>Not Applicable</t>
  </si>
  <si>
    <t>1 building 2 stories</t>
  </si>
  <si>
    <t>State of California HCD MHP &amp; Serna</t>
  </si>
  <si>
    <t>08/072024</t>
  </si>
  <si>
    <t>JFM Villas Family LLC</t>
  </si>
  <si>
    <t>Variable</t>
  </si>
  <si>
    <t>GP equity</t>
  </si>
  <si>
    <t>tax exempt perm loan</t>
  </si>
  <si>
    <t>residual receipts loan</t>
  </si>
  <si>
    <t>deferred fee</t>
  </si>
  <si>
    <t>phone, supplies, software, training</t>
  </si>
  <si>
    <t>office salaries, payroll tax, benefits</t>
  </si>
  <si>
    <t>supplies, furnishings replacement</t>
  </si>
  <si>
    <t>state franchise tax</t>
  </si>
  <si>
    <t>bond issuer annual fee</t>
  </si>
  <si>
    <t>pv system</t>
  </si>
  <si>
    <t>predev loan costs</t>
  </si>
  <si>
    <t>perm loan legal</t>
  </si>
  <si>
    <t>owner legal</t>
  </si>
  <si>
    <t>HCD pooled reserve fee</t>
  </si>
  <si>
    <t>prevailing wage monitoring</t>
  </si>
  <si>
    <t>HCD  MHP</t>
  </si>
  <si>
    <t xml:space="preserve">LP Equity </t>
  </si>
  <si>
    <t>1 bedroom</t>
  </si>
  <si>
    <t>2 bedroom</t>
  </si>
  <si>
    <t>3 bedroom</t>
  </si>
  <si>
    <t>4 bedroom</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</si>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</sst>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66" fontId="22"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JFM%20Villas%20Senior%20and%20Family\JFM%20Family%20for%20CDLAC%204-9-24.xls" TargetMode="External"/><Relationship Id="rId1" Type="http://schemas.openxmlformats.org/officeDocument/2006/relationships/externalLinkPath" Target="file:///C:\Users\Elissa\Box\Elissa%20Dennis\CVHC%20-%20JFM%20Villas%20Senior%20and%20Family\JFM%20Family%20for%20CDLAC%204-9-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marvin op budget"/>
    </sheetNames>
    <sheetDataSet>
      <sheetData sheetId="0"/>
      <sheetData sheetId="1">
        <row r="8">
          <cell r="C8">
            <v>6612672</v>
          </cell>
        </row>
        <row r="9">
          <cell r="AE9">
            <v>379</v>
          </cell>
        </row>
        <row r="10">
          <cell r="AE10">
            <v>554</v>
          </cell>
        </row>
        <row r="11">
          <cell r="AE11">
            <v>554</v>
          </cell>
          <cell r="AI11">
            <v>699</v>
          </cell>
        </row>
        <row r="12">
          <cell r="C12">
            <v>1300000</v>
          </cell>
          <cell r="AE12">
            <v>729</v>
          </cell>
        </row>
        <row r="13">
          <cell r="C13">
            <v>1000000</v>
          </cell>
          <cell r="AE13">
            <v>904</v>
          </cell>
        </row>
        <row r="14">
          <cell r="C14">
            <v>44302919.537311003</v>
          </cell>
          <cell r="AE14">
            <v>451</v>
          </cell>
        </row>
        <row r="15">
          <cell r="AE15">
            <v>661</v>
          </cell>
          <cell r="AI15">
            <v>839</v>
          </cell>
        </row>
        <row r="16">
          <cell r="AE16">
            <v>661</v>
          </cell>
        </row>
        <row r="17">
          <cell r="AE17">
            <v>870</v>
          </cell>
        </row>
        <row r="18">
          <cell r="B18">
            <v>39987612.11214298</v>
          </cell>
          <cell r="F18">
            <v>7.6200000000000004E-2</v>
          </cell>
          <cell r="AE18">
            <v>1080</v>
          </cell>
        </row>
        <row r="19">
          <cell r="B19">
            <v>20199225.572605595</v>
          </cell>
          <cell r="AE19">
            <v>514</v>
          </cell>
        </row>
        <row r="20">
          <cell r="AE20">
            <v>514</v>
          </cell>
        </row>
        <row r="21">
          <cell r="AE21">
            <v>756</v>
          </cell>
          <cell r="AI21">
            <v>969</v>
          </cell>
        </row>
        <row r="22">
          <cell r="AE22">
            <v>756</v>
          </cell>
        </row>
        <row r="23">
          <cell r="I23">
            <v>0.54500000000000004</v>
          </cell>
          <cell r="AE23">
            <v>998</v>
          </cell>
        </row>
        <row r="24">
          <cell r="AE24">
            <v>998</v>
          </cell>
        </row>
        <row r="25">
          <cell r="C25">
            <v>2100000</v>
          </cell>
          <cell r="AE25">
            <v>1241</v>
          </cell>
        </row>
        <row r="26">
          <cell r="AE26">
            <v>563</v>
          </cell>
        </row>
        <row r="27">
          <cell r="AE27">
            <v>563</v>
          </cell>
        </row>
        <row r="28">
          <cell r="C28">
            <v>45000</v>
          </cell>
          <cell r="AE28">
            <v>834</v>
          </cell>
          <cell r="AI28">
            <v>1082</v>
          </cell>
        </row>
        <row r="29">
          <cell r="AE29">
            <v>1104</v>
          </cell>
        </row>
        <row r="31">
          <cell r="C31">
            <v>47200</v>
          </cell>
        </row>
        <row r="40">
          <cell r="AD40">
            <v>1438</v>
          </cell>
        </row>
        <row r="41">
          <cell r="C41">
            <v>5780995</v>
          </cell>
          <cell r="AD41">
            <v>1438</v>
          </cell>
        </row>
        <row r="42">
          <cell r="C42">
            <v>39830351</v>
          </cell>
        </row>
        <row r="43">
          <cell r="C43">
            <v>2051320</v>
          </cell>
        </row>
        <row r="44">
          <cell r="C44">
            <v>466000</v>
          </cell>
          <cell r="AD44">
            <v>1780</v>
          </cell>
        </row>
        <row r="45">
          <cell r="C45">
            <v>3343811</v>
          </cell>
          <cell r="AD45">
            <v>1780</v>
          </cell>
        </row>
        <row r="46">
          <cell r="C46">
            <v>782254</v>
          </cell>
        </row>
        <row r="48">
          <cell r="AD48">
            <v>2764</v>
          </cell>
        </row>
        <row r="49">
          <cell r="C49">
            <v>723000</v>
          </cell>
        </row>
        <row r="50">
          <cell r="C50">
            <v>270000</v>
          </cell>
          <cell r="AD50">
            <v>2764</v>
          </cell>
        </row>
        <row r="52">
          <cell r="C52">
            <v>505000</v>
          </cell>
          <cell r="AD52">
            <v>2942</v>
          </cell>
        </row>
        <row r="53">
          <cell r="AD53">
            <v>2942</v>
          </cell>
        </row>
        <row r="54">
          <cell r="C54">
            <v>6497169.1280686092</v>
          </cell>
          <cell r="F54">
            <v>4204050.612279688</v>
          </cell>
        </row>
        <row r="55">
          <cell r="C55">
            <v>180000</v>
          </cell>
        </row>
        <row r="56">
          <cell r="C56">
            <v>486401.28263561428</v>
          </cell>
          <cell r="F56">
            <v>374154.83279662638</v>
          </cell>
        </row>
        <row r="57">
          <cell r="C57">
            <v>10000</v>
          </cell>
          <cell r="F57">
            <v>10000</v>
          </cell>
        </row>
        <row r="58">
          <cell r="C58">
            <v>579587</v>
          </cell>
        </row>
        <row r="59">
          <cell r="C59">
            <v>80000</v>
          </cell>
          <cell r="F59">
            <v>61538.461538461539</v>
          </cell>
        </row>
        <row r="62">
          <cell r="C62">
            <v>55947</v>
          </cell>
        </row>
        <row r="63">
          <cell r="C63">
            <v>197674.44979689154</v>
          </cell>
          <cell r="F63">
            <v>152057.26907453194</v>
          </cell>
        </row>
        <row r="64">
          <cell r="C64">
            <v>20000</v>
          </cell>
        </row>
        <row r="65">
          <cell r="C65">
            <v>20000</v>
          </cell>
          <cell r="AG65">
            <v>352242.39726265601</v>
          </cell>
        </row>
        <row r="67">
          <cell r="AG67">
            <v>4000</v>
          </cell>
        </row>
        <row r="69">
          <cell r="C69">
            <v>60000</v>
          </cell>
          <cell r="F69">
            <v>46153.846153846156</v>
          </cell>
        </row>
        <row r="70">
          <cell r="C70">
            <v>80000</v>
          </cell>
          <cell r="F70">
            <v>61538.461538461539</v>
          </cell>
          <cell r="AG70">
            <v>50000</v>
          </cell>
        </row>
        <row r="73">
          <cell r="C73">
            <v>582706.89883132791</v>
          </cell>
          <cell r="AE73">
            <v>4594700</v>
          </cell>
        </row>
        <row r="74">
          <cell r="AE74">
            <v>7.0000000000000007E-2</v>
          </cell>
        </row>
        <row r="75">
          <cell r="C75">
            <v>100233</v>
          </cell>
        </row>
        <row r="77">
          <cell r="C77">
            <v>10000</v>
          </cell>
        </row>
        <row r="78">
          <cell r="C78">
            <v>3135283.86</v>
          </cell>
        </row>
        <row r="80">
          <cell r="C80">
            <v>108337.91797855844</v>
          </cell>
        </row>
        <row r="81">
          <cell r="C81">
            <v>150000</v>
          </cell>
        </row>
        <row r="82">
          <cell r="C82">
            <v>75000</v>
          </cell>
        </row>
        <row r="83">
          <cell r="C83">
            <v>190412</v>
          </cell>
        </row>
        <row r="84">
          <cell r="C84">
            <v>2917058</v>
          </cell>
        </row>
        <row r="85">
          <cell r="C85">
            <v>550000</v>
          </cell>
        </row>
        <row r="86">
          <cell r="C86">
            <v>17000</v>
          </cell>
        </row>
        <row r="87">
          <cell r="C87">
            <v>30000</v>
          </cell>
        </row>
        <row r="88">
          <cell r="C88">
            <v>30000</v>
          </cell>
        </row>
        <row r="89">
          <cell r="C89">
            <v>200000</v>
          </cell>
        </row>
        <row r="93">
          <cell r="C93">
            <v>4500000</v>
          </cell>
        </row>
        <row r="107">
          <cell r="C107">
            <v>145000</v>
          </cell>
        </row>
        <row r="123">
          <cell r="H123">
            <v>0.89608509311770879</v>
          </cell>
        </row>
        <row r="124">
          <cell r="F124">
            <v>0.8</v>
          </cell>
        </row>
      </sheetData>
      <sheetData sheetId="2">
        <row r="3">
          <cell r="F3">
            <v>3900</v>
          </cell>
        </row>
        <row r="4">
          <cell r="F4">
            <v>74880</v>
          </cell>
        </row>
        <row r="5">
          <cell r="F5">
            <v>5600</v>
          </cell>
        </row>
        <row r="6">
          <cell r="F6">
            <v>9300</v>
          </cell>
        </row>
        <row r="7">
          <cell r="F7">
            <v>6600</v>
          </cell>
        </row>
        <row r="8">
          <cell r="F8">
            <v>3400</v>
          </cell>
        </row>
        <row r="9">
          <cell r="F9">
            <v>3100</v>
          </cell>
        </row>
        <row r="10">
          <cell r="F10">
            <v>33900</v>
          </cell>
        </row>
        <row r="12">
          <cell r="F12">
            <v>10000</v>
          </cell>
        </row>
        <row r="13">
          <cell r="F13">
            <v>9600</v>
          </cell>
        </row>
        <row r="14">
          <cell r="F14">
            <v>18000</v>
          </cell>
        </row>
        <row r="15">
          <cell r="F15">
            <v>13000</v>
          </cell>
        </row>
        <row r="16">
          <cell r="F16">
            <v>6520</v>
          </cell>
        </row>
        <row r="20">
          <cell r="F20">
            <v>31000</v>
          </cell>
        </row>
        <row r="21">
          <cell r="F21">
            <v>26100</v>
          </cell>
        </row>
        <row r="22">
          <cell r="F22">
            <v>31250</v>
          </cell>
        </row>
        <row r="23">
          <cell r="F23">
            <v>31250</v>
          </cell>
        </row>
        <row r="24">
          <cell r="F24">
            <v>2700</v>
          </cell>
        </row>
        <row r="28">
          <cell r="F28">
            <v>35360</v>
          </cell>
        </row>
        <row r="29">
          <cell r="F29">
            <v>37440</v>
          </cell>
        </row>
        <row r="31">
          <cell r="F31">
            <v>59400</v>
          </cell>
        </row>
        <row r="32">
          <cell r="F32">
            <v>9000</v>
          </cell>
        </row>
        <row r="33">
          <cell r="F33">
            <v>2000</v>
          </cell>
        </row>
        <row r="34">
          <cell r="F34">
            <v>2250</v>
          </cell>
        </row>
        <row r="35">
          <cell r="F35">
            <v>5000</v>
          </cell>
        </row>
        <row r="36">
          <cell r="F36">
            <v>4500</v>
          </cell>
        </row>
        <row r="37">
          <cell r="F37">
            <v>4300</v>
          </cell>
        </row>
        <row r="38">
          <cell r="F38">
            <v>1100</v>
          </cell>
        </row>
        <row r="39">
          <cell r="F39">
            <v>0</v>
          </cell>
        </row>
        <row r="40">
          <cell r="F40">
            <v>12000</v>
          </cell>
        </row>
        <row r="41">
          <cell r="F41">
            <v>12929.288</v>
          </cell>
        </row>
        <row r="42">
          <cell r="F42">
            <v>17721.599999999999</v>
          </cell>
        </row>
        <row r="43">
          <cell r="F43">
            <v>2271</v>
          </cell>
        </row>
        <row r="47">
          <cell r="F47">
            <v>6000</v>
          </cell>
        </row>
        <row r="48">
          <cell r="F48">
            <v>800</v>
          </cell>
        </row>
        <row r="49">
          <cell r="F49">
            <v>121000</v>
          </cell>
        </row>
        <row r="50">
          <cell r="F50">
            <v>1828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3"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0"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1" t="s">
        <v>2414</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2461</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7" t="str">
        <f>IF(Application!H18="","",Application!H18)</f>
        <v>JFM Villas Family Apartments</v>
      </c>
      <c r="M4" s="2238"/>
      <c r="N4" s="2238"/>
      <c r="O4" s="2238"/>
      <c r="P4" s="2238"/>
      <c r="Q4" s="2238"/>
      <c r="R4" s="2238"/>
      <c r="S4" s="2238"/>
      <c r="T4" s="2238"/>
      <c r="U4" s="2238"/>
      <c r="V4" s="2238"/>
      <c r="W4" s="2238"/>
      <c r="X4" s="2238"/>
      <c r="Y4" s="2238"/>
      <c r="Z4" s="2238"/>
      <c r="AA4" s="2238"/>
      <c r="AB4" s="2238"/>
      <c r="AC4" s="2239"/>
      <c r="AD4" s="1209"/>
      <c r="AE4" s="1209"/>
      <c r="AF4" s="2240" t="s">
        <v>2462</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2463</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7" t="str">
        <f>IF(Application!H16="","",Application!H16)</f>
        <v>The Coachella Valley Housing Coalition</v>
      </c>
      <c r="M6" s="2238"/>
      <c r="N6" s="2238"/>
      <c r="O6" s="2238"/>
      <c r="P6" s="2238"/>
      <c r="Q6" s="2238"/>
      <c r="R6" s="2238"/>
      <c r="S6" s="2238"/>
      <c r="T6" s="2238"/>
      <c r="U6" s="2238"/>
      <c r="V6" s="2238"/>
      <c r="W6" s="2238"/>
      <c r="X6" s="2238"/>
      <c r="Y6" s="2238"/>
      <c r="Z6" s="2238"/>
      <c r="AA6" s="2238"/>
      <c r="AB6" s="2238"/>
      <c r="AC6" s="2239"/>
      <c r="AD6" s="1209"/>
      <c r="AE6" s="1209"/>
      <c r="AF6" s="2243" t="s">
        <v>2464</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2465</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2466</v>
      </c>
      <c r="AG8" s="2243"/>
      <c r="AH8" s="2243"/>
      <c r="AI8" s="2243"/>
      <c r="AJ8" s="2243"/>
      <c r="AK8" s="2243"/>
      <c r="AL8" s="2243"/>
      <c r="AM8" s="2243"/>
      <c r="AN8" s="2243"/>
      <c r="AO8" s="2243"/>
      <c r="AP8" s="2230" t="s">
        <v>2418</v>
      </c>
      <c r="AQ8" s="2230"/>
      <c r="AR8" s="2230"/>
      <c r="AS8" s="2230"/>
      <c r="AT8" s="2230"/>
      <c r="AU8" s="2230"/>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2626</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5">
        <f>Application!AO627</f>
        <v>4594700</v>
      </c>
      <c r="O10" s="2255"/>
      <c r="P10" s="2255"/>
      <c r="Q10" s="2255"/>
      <c r="R10" s="2255"/>
      <c r="S10" s="2255"/>
      <c r="T10" s="2255"/>
      <c r="U10" s="1209"/>
      <c r="V10" s="1209"/>
      <c r="W10" s="1209"/>
      <c r="X10" s="1258"/>
      <c r="Y10" s="1258"/>
      <c r="Z10" s="1258"/>
      <c r="AA10" s="1258"/>
      <c r="AB10" s="1258"/>
      <c r="AC10" s="1258"/>
      <c r="AD10" s="1258"/>
      <c r="AE10" s="1258"/>
      <c r="AF10" s="2240" t="s">
        <v>2625</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2624</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2" t="s">
        <v>1795</v>
      </c>
      <c r="C13" s="2263"/>
      <c r="D13" s="2263"/>
      <c r="E13" s="2263"/>
      <c r="F13" s="2263"/>
      <c r="G13" s="2263"/>
      <c r="H13" s="2263"/>
      <c r="I13" s="2263"/>
      <c r="J13" s="2263"/>
      <c r="K13" s="2263"/>
      <c r="L13" s="2263"/>
      <c r="M13" s="2263"/>
      <c r="N13" s="2263"/>
      <c r="O13" s="2263"/>
      <c r="P13" s="2264"/>
      <c r="Q13" s="2265" t="s">
        <v>678</v>
      </c>
      <c r="R13" s="2266"/>
      <c r="S13" s="2266"/>
      <c r="T13" s="2267"/>
      <c r="U13" s="1258"/>
      <c r="V13" s="1209"/>
      <c r="W13" s="1209"/>
      <c r="X13" s="1209"/>
      <c r="Y13" s="1209"/>
      <c r="Z13" s="1209"/>
      <c r="AA13" s="2256" t="s">
        <v>2468</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2470</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thickBot="1">
      <c r="A15" s="1209"/>
      <c r="B15" s="2268" t="s">
        <v>1796</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2471</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3" t="s">
        <v>1797</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1798</v>
      </c>
      <c r="C18" s="2277"/>
      <c r="D18" s="2277"/>
      <c r="E18" s="2277"/>
      <c r="F18" s="2277"/>
      <c r="G18" s="2277"/>
      <c r="H18" s="2277"/>
      <c r="I18" s="2278"/>
      <c r="J18" s="2279" t="s">
        <v>1699</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1799</v>
      </c>
      <c r="AU18" s="2280"/>
      <c r="AV18" s="2280"/>
      <c r="AW18" s="2280"/>
      <c r="AX18" s="2280"/>
      <c r="AY18" s="2282"/>
      <c r="AZ18" s="1209"/>
      <c r="BA18" s="1209"/>
      <c r="BB18" s="1209"/>
      <c r="BC18" s="1209"/>
      <c r="BD18" s="1209"/>
      <c r="BE18" s="1205"/>
    </row>
    <row r="19" spans="1:58" ht="15">
      <c r="A19" s="1209"/>
      <c r="B19" s="2283">
        <v>0.3</v>
      </c>
      <c r="C19" s="2284"/>
      <c r="D19" s="2284"/>
      <c r="E19" s="2284"/>
      <c r="F19" s="2284"/>
      <c r="G19" s="2284"/>
      <c r="H19" s="2284"/>
      <c r="I19" s="2285"/>
      <c r="J19" s="2286">
        <f t="shared" ref="J19:J28" si="0">SUM(P19:AS19)</f>
        <v>23</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6</v>
      </c>
      <c r="W19" s="2287"/>
      <c r="X19" s="2287"/>
      <c r="Y19" s="2287"/>
      <c r="Z19" s="2287"/>
      <c r="AA19" s="2288"/>
      <c r="AB19" s="2286" cm="1">
        <f t="array" ref="AB19">SUMPRODUCT((Application!$B$714:$B$738 = 'CalHFA Addendum'!AB$18)*(Application!$AC$714:$AC$738 = 'CalHFA Addendum'!$B19),Application!$G$714:$G$738)</f>
        <v>7</v>
      </c>
      <c r="AC19" s="2287"/>
      <c r="AD19" s="2287"/>
      <c r="AE19" s="2287"/>
      <c r="AF19" s="2287"/>
      <c r="AG19" s="2288"/>
      <c r="AH19" s="2286" cm="1">
        <f t="array" ref="AH19">SUMPRODUCT((Application!$B$714:$B$738 = 'CalHFA Addendum'!AH$18)*(Application!$AC$714:$AC$738 = 'CalHFA Addendum'!$B19),Application!$G$714:$G$738)</f>
        <v>7</v>
      </c>
      <c r="AI19" s="2287"/>
      <c r="AJ19" s="2287"/>
      <c r="AK19" s="2287"/>
      <c r="AL19" s="2287"/>
      <c r="AM19" s="2288"/>
      <c r="AN19" s="2286" cm="1">
        <f t="array" ref="AN19">SUMPRODUCT((Application!$B$714:$B$738 = 'CalHFA Addendum'!AN$18)*(Application!$AC$714:$AC$738 = 'CalHFA Addendum'!$B19),Application!$G$714:$G$738)</f>
        <v>3</v>
      </c>
      <c r="AO19" s="2287"/>
      <c r="AP19" s="2287"/>
      <c r="AQ19" s="2287"/>
      <c r="AR19" s="2287"/>
      <c r="AS19" s="2288"/>
      <c r="AT19" s="2289">
        <f t="shared" ref="AT19:AT29" si="1">J19/$J$29</f>
        <v>0.23232323232323232</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59</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22</v>
      </c>
      <c r="W20" s="2287"/>
      <c r="X20" s="2287"/>
      <c r="Y20" s="2287"/>
      <c r="Z20" s="2287"/>
      <c r="AA20" s="2288"/>
      <c r="AB20" s="2286" cm="1">
        <f t="array" ref="AB20">SUMPRODUCT((Application!$B$714:$B$738 = 'CalHFA Addendum'!AB$18)*(Application!$AC$714:$AC$738 = 'CalHFA Addendum'!$B20),Application!$G$714:$G$738)</f>
        <v>23</v>
      </c>
      <c r="AC20" s="2287"/>
      <c r="AD20" s="2287"/>
      <c r="AE20" s="2287"/>
      <c r="AF20" s="2287"/>
      <c r="AG20" s="2288"/>
      <c r="AH20" s="2286" cm="1">
        <f t="array" ref="AH20">SUMPRODUCT((Application!$B$714:$B$738 = 'CalHFA Addendum'!AH$18)*(Application!$AC$714:$AC$738 = 'CalHFA Addendum'!$B20),Application!$G$714:$G$738)</f>
        <v>12</v>
      </c>
      <c r="AI20" s="2287"/>
      <c r="AJ20" s="2287"/>
      <c r="AK20" s="2287"/>
      <c r="AL20" s="2287"/>
      <c r="AM20" s="2288"/>
      <c r="AN20" s="2286" cm="1">
        <f t="array" ref="AN20">SUMPRODUCT((Application!$B$714:$B$738 = 'CalHFA Addendum'!AN$18)*(Application!$AC$714:$AC$738 = 'CalHFA Addendum'!$B20),Application!$G$714:$G$738)</f>
        <v>2</v>
      </c>
      <c r="AO20" s="2287"/>
      <c r="AP20" s="2287"/>
      <c r="AQ20" s="2287"/>
      <c r="AR20" s="2287"/>
      <c r="AS20" s="2288"/>
      <c r="AT20" s="2289">
        <f t="shared" si="1"/>
        <v>0.59595959595959591</v>
      </c>
      <c r="AU20" s="2290"/>
      <c r="AV20" s="2290"/>
      <c r="AW20" s="2290"/>
      <c r="AX20" s="2290"/>
      <c r="AY20" s="2291"/>
      <c r="AZ20" s="1209"/>
      <c r="BA20" s="1209"/>
      <c r="BB20" s="1209"/>
      <c r="BC20" s="1209"/>
      <c r="BD20" s="1209"/>
      <c r="BE20" s="1205"/>
    </row>
    <row r="21" spans="1:58" ht="15">
      <c r="A21" s="1209"/>
      <c r="B21" s="2283">
        <v>0.5</v>
      </c>
      <c r="C21" s="2284"/>
      <c r="D21" s="2284"/>
      <c r="E21" s="2284"/>
      <c r="F21" s="2284"/>
      <c r="G21" s="2284"/>
      <c r="H21" s="2284"/>
      <c r="I21" s="2285"/>
      <c r="J21" s="2286">
        <f t="shared" si="0"/>
        <v>13</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2</v>
      </c>
      <c r="W21" s="2287"/>
      <c r="X21" s="2287"/>
      <c r="Y21" s="2287"/>
      <c r="Z21" s="2287"/>
      <c r="AA21" s="2288"/>
      <c r="AB21" s="2286" cm="1">
        <f t="array" ref="AB21">SUMPRODUCT((Application!$B$714:$B$738 = 'CalHFA Addendum'!AB$18)*(Application!$AC$714:$AC$738 = 'CalHFA Addendum'!$B21),Application!$G$714:$G$738)</f>
        <v>3</v>
      </c>
      <c r="AC21" s="2287"/>
      <c r="AD21" s="2287"/>
      <c r="AE21" s="2287"/>
      <c r="AF21" s="2287"/>
      <c r="AG21" s="2288"/>
      <c r="AH21" s="2286" cm="1">
        <f t="array" ref="AH21">SUMPRODUCT((Application!$B$714:$B$738 = 'CalHFA Addendum'!AH$18)*(Application!$AC$714:$AC$738 = 'CalHFA Addendum'!$B21),Application!$G$714:$G$738)</f>
        <v>5</v>
      </c>
      <c r="AI21" s="2287"/>
      <c r="AJ21" s="2287"/>
      <c r="AK21" s="2287"/>
      <c r="AL21" s="2287"/>
      <c r="AM21" s="2288"/>
      <c r="AN21" s="2286" cm="1">
        <f t="array" ref="AN21">SUMPRODUCT((Application!$B$714:$B$738 = 'CalHFA Addendum'!AN$18)*(Application!$AC$714:$AC$738 = 'CalHFA Addendum'!$B21),Application!$G$714:$G$738)</f>
        <v>3</v>
      </c>
      <c r="AO21" s="2287"/>
      <c r="AP21" s="2287"/>
      <c r="AQ21" s="2287"/>
      <c r="AR21" s="2287"/>
      <c r="AS21" s="2288"/>
      <c r="AT21" s="2289">
        <f t="shared" si="1"/>
        <v>0.13131313131313133</v>
      </c>
      <c r="AU21" s="2290"/>
      <c r="AV21" s="2290"/>
      <c r="AW21" s="2290"/>
      <c r="AX21" s="2290"/>
      <c r="AY21" s="2291"/>
      <c r="AZ21" s="1209"/>
      <c r="BA21" s="1209"/>
      <c r="BB21" s="1209"/>
      <c r="BC21" s="1209"/>
      <c r="BD21" s="1209"/>
      <c r="BE21" s="1205"/>
    </row>
    <row r="22" spans="1:58" ht="15">
      <c r="A22" s="1209"/>
      <c r="B22" s="2283">
        <v>0.6</v>
      </c>
      <c r="C22" s="2284"/>
      <c r="D22" s="2284"/>
      <c r="E22" s="2284"/>
      <c r="F22" s="2284"/>
      <c r="G22" s="2284"/>
      <c r="H22" s="2284"/>
      <c r="I22" s="2285"/>
      <c r="J22" s="2286">
        <f t="shared" si="0"/>
        <v>4</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1</v>
      </c>
      <c r="W22" s="2287"/>
      <c r="X22" s="2287"/>
      <c r="Y22" s="2287"/>
      <c r="Z22" s="2287"/>
      <c r="AA22" s="2288"/>
      <c r="AB22" s="2286" cm="1">
        <f t="array" ref="AB22">SUMPRODUCT((Application!$B$714:$B$738 = 'CalHFA Addendum'!AB$18)*(Application!$AC$714:$AC$738 = 'CalHFA Addendum'!$B22),Application!$G$714:$G$738)</f>
        <v>1</v>
      </c>
      <c r="AC22" s="2287"/>
      <c r="AD22" s="2287"/>
      <c r="AE22" s="2287"/>
      <c r="AF22" s="2287"/>
      <c r="AG22" s="2288"/>
      <c r="AH22" s="2286" cm="1">
        <f t="array" ref="AH22">SUMPRODUCT((Application!$B$714:$B$738 = 'CalHFA Addendum'!AH$18)*(Application!$AC$714:$AC$738 = 'CalHFA Addendum'!$B22),Application!$G$714:$G$738)</f>
        <v>2</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4.0404040404040407E-2</v>
      </c>
      <c r="AU22" s="2290"/>
      <c r="AV22" s="2290"/>
      <c r="AW22" s="2290"/>
      <c r="AX22" s="2290"/>
      <c r="AY22" s="2291"/>
      <c r="AZ22" s="1209"/>
      <c r="BA22" s="1209"/>
      <c r="BB22" s="1209"/>
      <c r="BC22" s="1209"/>
      <c r="BD22" s="1209"/>
      <c r="BE22" s="1205"/>
    </row>
    <row r="23" spans="1:58" ht="1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thickBot="1">
      <c r="A28" s="1209"/>
      <c r="B28" s="2302" t="s">
        <v>1800</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thickBot="1">
      <c r="A29" s="1209"/>
      <c r="B29" s="2317" t="s">
        <v>1699</v>
      </c>
      <c r="C29" s="2318"/>
      <c r="D29" s="2318"/>
      <c r="E29" s="2318"/>
      <c r="F29" s="2318"/>
      <c r="G29" s="2318"/>
      <c r="H29" s="2318"/>
      <c r="I29" s="2319"/>
      <c r="J29" s="2320">
        <f>SUM(J19:O28)</f>
        <v>99</v>
      </c>
      <c r="K29" s="2318"/>
      <c r="L29" s="2318"/>
      <c r="M29" s="2318"/>
      <c r="N29" s="2318"/>
      <c r="O29" s="2319"/>
      <c r="P29" s="2320">
        <f>SUM(P19:U28)</f>
        <v>0</v>
      </c>
      <c r="Q29" s="2318"/>
      <c r="R29" s="2318"/>
      <c r="S29" s="2318"/>
      <c r="T29" s="2318"/>
      <c r="U29" s="2319"/>
      <c r="V29" s="2320">
        <f>SUM(V19:AA28)</f>
        <v>31</v>
      </c>
      <c r="W29" s="2318"/>
      <c r="X29" s="2318"/>
      <c r="Y29" s="2318"/>
      <c r="Z29" s="2318"/>
      <c r="AA29" s="2319"/>
      <c r="AB29" s="2320">
        <f>SUM(AB19:AG28)</f>
        <v>34</v>
      </c>
      <c r="AC29" s="2318"/>
      <c r="AD29" s="2318"/>
      <c r="AE29" s="2318"/>
      <c r="AF29" s="2318"/>
      <c r="AG29" s="2319"/>
      <c r="AH29" s="2320">
        <f>SUM(AH19:AM28)</f>
        <v>26</v>
      </c>
      <c r="AI29" s="2318"/>
      <c r="AJ29" s="2318"/>
      <c r="AK29" s="2318"/>
      <c r="AL29" s="2318"/>
      <c r="AM29" s="2319"/>
      <c r="AN29" s="2320">
        <f>SUM(AN19:AS28)</f>
        <v>8</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5" t="s">
        <v>1801</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thickBot="1">
      <c r="A32" s="1209"/>
      <c r="B32" s="2340" t="s">
        <v>2474</v>
      </c>
      <c r="C32" s="2341"/>
      <c r="D32" s="2341"/>
      <c r="E32" s="2341"/>
      <c r="F32" s="2341"/>
      <c r="G32" s="2341"/>
      <c r="H32" s="2341"/>
      <c r="I32" s="2341"/>
      <c r="J32" s="2311" t="s">
        <v>2475</v>
      </c>
      <c r="K32" s="2312"/>
      <c r="L32" s="2312"/>
      <c r="M32" s="2312"/>
      <c r="N32" s="2311" t="s">
        <v>1802</v>
      </c>
      <c r="O32" s="2312"/>
      <c r="P32" s="2312"/>
      <c r="Q32" s="2314"/>
      <c r="R32" s="2334" t="s">
        <v>1803</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1804</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1805</v>
      </c>
      <c r="AT35" s="2299"/>
      <c r="AU35" s="2299"/>
      <c r="AV35" s="2299"/>
      <c r="AW35" s="2299"/>
      <c r="AX35" s="2300"/>
      <c r="AY35" s="2298" t="s">
        <v>1806</v>
      </c>
      <c r="AZ35" s="2299"/>
      <c r="BA35" s="2299"/>
      <c r="BB35" s="2299"/>
      <c r="BC35" s="2299"/>
      <c r="BD35" s="2301"/>
      <c r="BE35" s="1205"/>
    </row>
    <row r="36" spans="1:58" ht="15.75" customHeight="1">
      <c r="A36" s="1209"/>
      <c r="B36" s="2321" t="s">
        <v>1807</v>
      </c>
      <c r="C36" s="2322"/>
      <c r="D36" s="2322"/>
      <c r="E36" s="2322"/>
      <c r="F36" s="2322"/>
      <c r="G36" s="2322"/>
      <c r="H36" s="2322"/>
      <c r="I36" s="2322"/>
      <c r="J36" s="2323" t="s">
        <v>1808</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0.50505050505050508</v>
      </c>
      <c r="AZ36" s="2351"/>
      <c r="BA36" s="2351"/>
      <c r="BB36" s="2351"/>
      <c r="BC36" s="2351"/>
      <c r="BD36" s="2352"/>
      <c r="BE36" s="1205"/>
    </row>
    <row r="37" spans="1:58" ht="15.75" customHeight="1">
      <c r="A37" s="1209"/>
      <c r="B37" s="2321" t="s">
        <v>2476</v>
      </c>
      <c r="C37" s="2322"/>
      <c r="D37" s="2322"/>
      <c r="E37" s="2322"/>
      <c r="F37" s="2322"/>
      <c r="G37" s="2322"/>
      <c r="H37" s="2322"/>
      <c r="I37" s="2322"/>
      <c r="J37" s="2323" t="s">
        <v>1809</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0.10101010101010101</v>
      </c>
      <c r="AZ37" s="2351"/>
      <c r="BA37" s="2351"/>
      <c r="BB37" s="2351"/>
      <c r="BC37" s="2351"/>
      <c r="BD37" s="2352"/>
      <c r="BE37" s="1205"/>
    </row>
    <row r="38" spans="1:58" ht="15.75" customHeight="1">
      <c r="A38" s="1209"/>
      <c r="B38" s="2321" t="s">
        <v>2415</v>
      </c>
      <c r="C38" s="2322"/>
      <c r="D38" s="2322"/>
      <c r="E38" s="2322"/>
      <c r="F38" s="2322"/>
      <c r="G38" s="2322"/>
      <c r="H38" s="2322"/>
      <c r="I38" s="2322"/>
      <c r="J38" s="2323" t="s">
        <v>1810</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1811</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1811</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1812</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1812</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1813</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1814</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1815</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1816</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1817</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1818</v>
      </c>
      <c r="C51" s="2207"/>
      <c r="D51" s="2207"/>
      <c r="E51" s="2207"/>
      <c r="F51" s="2207"/>
      <c r="G51" s="2207"/>
      <c r="H51" s="2207"/>
      <c r="I51" s="2207"/>
      <c r="J51" s="2207" t="s">
        <v>2478</v>
      </c>
      <c r="K51" s="2207"/>
      <c r="L51" s="2207"/>
      <c r="M51" s="2207"/>
      <c r="N51" s="2207"/>
      <c r="O51" s="2207"/>
      <c r="P51" s="2207"/>
      <c r="Q51" s="2207"/>
      <c r="R51" s="2364" t="s">
        <v>2479</v>
      </c>
      <c r="S51" s="2364"/>
      <c r="T51" s="2364"/>
      <c r="U51" s="2364"/>
      <c r="V51" s="2364"/>
      <c r="W51" s="2364"/>
      <c r="X51" s="2364"/>
      <c r="Y51" s="2364"/>
      <c r="Z51" s="2364" t="s">
        <v>1819</v>
      </c>
      <c r="AA51" s="2364"/>
      <c r="AB51" s="2364"/>
      <c r="AC51" s="2364"/>
      <c r="AD51" s="2364"/>
      <c r="AE51" s="2364"/>
      <c r="AF51" s="2364"/>
      <c r="AG51" s="2364"/>
      <c r="AH51" s="2364" t="s">
        <v>1820</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2186</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2187</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1699</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1818</v>
      </c>
      <c r="C59" s="2389"/>
      <c r="D59" s="2389"/>
      <c r="E59" s="2389"/>
      <c r="F59" s="2389"/>
      <c r="G59" s="2389"/>
      <c r="H59" s="2389"/>
      <c r="I59" s="2390"/>
      <c r="J59" s="2274" t="s">
        <v>2480</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1822</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1823</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9"/>
      <c r="BE68" s="1205"/>
      <c r="BM68" s="1254" t="s">
        <v>2481</v>
      </c>
    </row>
    <row r="69" spans="1:65" ht="15.75" customHeight="1" thickTop="1" thickBot="1">
      <c r="A69" s="1209"/>
      <c r="B69" s="2594" t="s">
        <v>1824</v>
      </c>
      <c r="C69" s="2595"/>
      <c r="D69" s="2595"/>
      <c r="E69" s="2595"/>
      <c r="F69" s="2595"/>
      <c r="G69" s="2595"/>
      <c r="H69" s="2595"/>
      <c r="I69" s="2595"/>
      <c r="J69" s="2595"/>
      <c r="K69" s="2595"/>
      <c r="L69" s="2595"/>
      <c r="M69" s="2595"/>
      <c r="N69" s="2595"/>
      <c r="O69" s="2596" t="s">
        <v>1825</v>
      </c>
      <c r="P69" s="2597"/>
      <c r="Q69" s="2597"/>
      <c r="R69" s="2597"/>
      <c r="S69" s="2597"/>
      <c r="T69" s="2597"/>
      <c r="U69" s="2597"/>
      <c r="V69" s="2597"/>
      <c r="W69" s="2597"/>
      <c r="X69" s="2597"/>
      <c r="Y69" s="2597"/>
      <c r="Z69" s="2597"/>
      <c r="AA69" s="2598"/>
      <c r="AB69" s="1209"/>
      <c r="AC69" s="2599" t="s">
        <v>1826</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554</v>
      </c>
    </row>
    <row r="70" spans="1:65" ht="15.75" customHeight="1">
      <c r="A70" s="1209"/>
      <c r="B70" s="2321" t="s">
        <v>2482</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1827</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678</v>
      </c>
    </row>
    <row r="71" spans="1:65" ht="15.75" customHeight="1" thickBot="1">
      <c r="A71" s="1209"/>
      <c r="B71" s="2321" t="s">
        <v>2483</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1828</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2484</v>
      </c>
    </row>
    <row r="72" spans="1:65" ht="15.75" customHeight="1">
      <c r="A72" s="1209"/>
      <c r="B72" s="2321" t="s">
        <v>2485</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2486</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2487</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2188</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4" t="s">
        <v>2554</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2171</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2621</v>
      </c>
      <c r="AK83" s="2248"/>
      <c r="AL83" s="2248"/>
      <c r="AM83" s="2248"/>
      <c r="AN83" s="2248"/>
      <c r="AO83" s="2248"/>
      <c r="AP83" s="2248"/>
      <c r="AQ83" s="2248"/>
      <c r="AR83" s="2248"/>
      <c r="AS83" s="2248"/>
      <c r="AT83" s="2248"/>
      <c r="AU83" s="2248"/>
      <c r="AV83" s="2248"/>
      <c r="AW83" s="2248"/>
      <c r="AX83" s="2248"/>
      <c r="AY83" s="2251" t="s">
        <v>554</v>
      </c>
      <c r="AZ83" s="2251"/>
      <c r="BA83" s="2251"/>
      <c r="BB83" s="2252"/>
      <c r="BC83" s="1209"/>
      <c r="BD83" s="1209"/>
      <c r="BE83" s="1205"/>
    </row>
    <row r="84" spans="1:70" ht="15.75" customHeight="1">
      <c r="A84" s="1209"/>
      <c r="B84" s="2206"/>
      <c r="C84" s="2207"/>
      <c r="D84" s="2207"/>
      <c r="E84" s="2207"/>
      <c r="F84" s="2207"/>
      <c r="G84" s="2207"/>
      <c r="H84" s="2207"/>
      <c r="I84" s="2207" t="s">
        <v>1829</v>
      </c>
      <c r="J84" s="2207"/>
      <c r="K84" s="2207"/>
      <c r="L84" s="2207"/>
      <c r="M84" s="2207"/>
      <c r="N84" s="2207"/>
      <c r="O84" s="2207" t="s">
        <v>1830</v>
      </c>
      <c r="P84" s="2207"/>
      <c r="Q84" s="2207"/>
      <c r="R84" s="2207"/>
      <c r="S84" s="2207"/>
      <c r="T84" s="2207"/>
      <c r="U84" s="2207"/>
      <c r="V84" s="2203" t="s">
        <v>2189</v>
      </c>
      <c r="W84" s="2203"/>
      <c r="X84" s="2203"/>
      <c r="Y84" s="2203"/>
      <c r="Z84" s="2203"/>
      <c r="AA84" s="2203"/>
      <c r="AB84" s="2204" t="s">
        <v>1831</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2172</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2173</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2488</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1832</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4" t="s">
        <v>2554</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2618</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2617</v>
      </c>
      <c r="AK96" s="2248"/>
      <c r="AL96" s="2248"/>
      <c r="AM96" s="2248"/>
      <c r="AN96" s="2248"/>
      <c r="AO96" s="2248"/>
      <c r="AP96" s="2248"/>
      <c r="AQ96" s="2248"/>
      <c r="AR96" s="2248"/>
      <c r="AS96" s="2248"/>
      <c r="AT96" s="2248"/>
      <c r="AU96" s="2248"/>
      <c r="AV96" s="2248"/>
      <c r="AW96" s="2248"/>
      <c r="AX96" s="2248"/>
      <c r="AY96" s="2251" t="s">
        <v>554</v>
      </c>
      <c r="AZ96" s="2251"/>
      <c r="BA96" s="2251"/>
      <c r="BB96" s="2252"/>
      <c r="BC96" s="1209"/>
      <c r="BD96" s="1209"/>
      <c r="BE96" s="1205"/>
      <c r="BQ96" s="1248" t="str">
        <f>Application!M243</f>
        <v xml:space="preserve">JFM Villas Family LLC </v>
      </c>
      <c r="BR96" s="1248">
        <f>Application!AH245</f>
        <v>0</v>
      </c>
    </row>
    <row r="97" spans="1:70" ht="15.75" customHeight="1">
      <c r="A97" s="1209"/>
      <c r="B97" s="2206"/>
      <c r="C97" s="2207"/>
      <c r="D97" s="2207"/>
      <c r="E97" s="2207"/>
      <c r="F97" s="2207"/>
      <c r="G97" s="2207"/>
      <c r="H97" s="2207"/>
      <c r="I97" s="2207" t="s">
        <v>1829</v>
      </c>
      <c r="J97" s="2207"/>
      <c r="K97" s="2207"/>
      <c r="L97" s="2207"/>
      <c r="M97" s="2207"/>
      <c r="N97" s="2207"/>
      <c r="O97" s="2207" t="s">
        <v>1830</v>
      </c>
      <c r="P97" s="2207"/>
      <c r="Q97" s="2207"/>
      <c r="R97" s="2207"/>
      <c r="S97" s="2207"/>
      <c r="T97" s="2207"/>
      <c r="U97" s="2207"/>
      <c r="V97" s="2203" t="s">
        <v>2189</v>
      </c>
      <c r="W97" s="2203"/>
      <c r="X97" s="2203"/>
      <c r="Y97" s="2203"/>
      <c r="Z97" s="2203"/>
      <c r="AA97" s="2203"/>
      <c r="AB97" s="2204" t="s">
        <v>1831</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f>Application!M251</f>
        <v>0</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2172</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2173</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2488</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1832</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2614</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1829</v>
      </c>
      <c r="J108" s="2207"/>
      <c r="K108" s="2207"/>
      <c r="L108" s="2207"/>
      <c r="M108" s="2207"/>
      <c r="N108" s="2207"/>
      <c r="O108" s="2207" t="s">
        <v>1830</v>
      </c>
      <c r="P108" s="2207"/>
      <c r="Q108" s="2207"/>
      <c r="R108" s="2207"/>
      <c r="S108" s="2207"/>
      <c r="T108" s="2207"/>
      <c r="U108" s="2207"/>
      <c r="V108" s="2203" t="s">
        <v>2189</v>
      </c>
      <c r="W108" s="2203"/>
      <c r="X108" s="2203"/>
      <c r="Y108" s="2203"/>
      <c r="Z108" s="2203"/>
      <c r="AA108" s="2203"/>
      <c r="AB108" s="2204" t="s">
        <v>1831</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2172</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2173</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1832</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2489</v>
      </c>
      <c r="C117" s="2248"/>
      <c r="D117" s="2248"/>
      <c r="E117" s="2248"/>
      <c r="F117" s="2248"/>
      <c r="G117" s="2248"/>
      <c r="H117" s="2248"/>
      <c r="I117" s="2248"/>
      <c r="J117" s="2248"/>
      <c r="K117" s="2248"/>
      <c r="L117" s="2248"/>
      <c r="M117" s="2248"/>
      <c r="N117" s="2248"/>
      <c r="O117" s="2248"/>
      <c r="P117" s="2248"/>
      <c r="Q117" s="2251" t="s">
        <v>554</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2190</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1689</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2175</v>
      </c>
      <c r="J127" s="2207"/>
      <c r="K127" s="2207"/>
      <c r="L127" s="2207"/>
      <c r="M127" s="2207"/>
      <c r="N127" s="2207"/>
      <c r="O127" s="2416" t="s">
        <v>2176</v>
      </c>
      <c r="P127" s="2416"/>
      <c r="Q127" s="2416"/>
      <c r="R127" s="2416"/>
      <c r="S127" s="2416"/>
      <c r="T127" s="2416"/>
      <c r="U127" s="2417"/>
      <c r="V127" s="1209"/>
      <c r="W127" s="1209"/>
      <c r="X127" s="2394" t="s">
        <v>2188</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2177</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2178</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1835</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1830</v>
      </c>
      <c r="J134" s="2438"/>
      <c r="K134" s="2438"/>
      <c r="L134" s="2438"/>
      <c r="M134" s="2438"/>
      <c r="N134" s="2438"/>
      <c r="O134" s="2438"/>
      <c r="P134" s="2438" t="s">
        <v>2189</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2177</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2178</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1836</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1837</v>
      </c>
      <c r="C140" s="2429"/>
      <c r="D140" s="2429"/>
      <c r="E140" s="2429"/>
      <c r="F140" s="2429"/>
      <c r="G140" s="2429"/>
      <c r="H140" s="2429"/>
      <c r="I140" s="2429"/>
      <c r="J140" s="2429"/>
      <c r="K140" s="2429"/>
      <c r="L140" s="2429"/>
      <c r="M140" s="2429"/>
      <c r="N140" s="2429"/>
      <c r="O140" s="2429"/>
      <c r="P140" s="2429"/>
      <c r="Q140" s="2429"/>
      <c r="R140" s="2430" t="s">
        <v>2191</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t="s">
        <v>2192</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1839</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2194</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1830</v>
      </c>
      <c r="J155" s="2438"/>
      <c r="K155" s="2438"/>
      <c r="L155" s="2438"/>
      <c r="M155" s="2438"/>
      <c r="N155" s="2438"/>
      <c r="O155" s="2438"/>
      <c r="P155" s="2438" t="s">
        <v>2195</v>
      </c>
      <c r="Q155" s="2438"/>
      <c r="R155" s="2438"/>
      <c r="S155" s="2438"/>
      <c r="T155" s="2438"/>
      <c r="U155" s="2439"/>
      <c r="V155" s="1209"/>
      <c r="W155" s="1209"/>
      <c r="X155" s="2414"/>
      <c r="Y155" s="2415"/>
      <c r="Z155" s="2415"/>
      <c r="AA155" s="2415"/>
      <c r="AB155" s="2415"/>
      <c r="AC155" s="2415"/>
      <c r="AD155" s="2415"/>
      <c r="AE155" s="2438" t="s">
        <v>1830</v>
      </c>
      <c r="AF155" s="2438"/>
      <c r="AG155" s="2438"/>
      <c r="AH155" s="2438"/>
      <c r="AI155" s="2438"/>
      <c r="AJ155" s="2438"/>
      <c r="AK155" s="2438"/>
      <c r="AL155" s="2438" t="s">
        <v>2189</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2177</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2177</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2178</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2179</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1840</v>
      </c>
      <c r="D161" s="2415"/>
      <c r="E161" s="2415"/>
      <c r="F161" s="2415"/>
      <c r="G161" s="2415"/>
      <c r="H161" s="2415"/>
      <c r="I161" s="2415"/>
      <c r="J161" s="2415"/>
      <c r="K161" s="2415"/>
      <c r="L161" s="2415"/>
      <c r="M161" s="2415"/>
      <c r="N161" s="2415"/>
      <c r="O161" s="2415"/>
      <c r="P161" s="2415"/>
      <c r="Q161" s="2415" t="s">
        <v>1841</v>
      </c>
      <c r="R161" s="2415"/>
      <c r="S161" s="2415"/>
      <c r="T161" s="2204" t="s">
        <v>2180</v>
      </c>
      <c r="U161" s="2204"/>
      <c r="V161" s="2204"/>
      <c r="W161" s="2204"/>
      <c r="X161" s="2204"/>
      <c r="Y161" s="2204"/>
      <c r="Z161" s="2204"/>
      <c r="AA161" s="2204"/>
      <c r="AB161" s="2415" t="s">
        <v>1842</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1843</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1844</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1845</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1816</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1846</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1846</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1846</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1847</v>
      </c>
      <c r="D170" s="2467"/>
      <c r="E170" s="2467"/>
      <c r="F170" s="2467"/>
      <c r="G170" s="2467"/>
      <c r="H170" s="2467"/>
      <c r="I170" s="2467"/>
      <c r="J170" s="2467"/>
      <c r="K170" s="2467"/>
      <c r="L170" s="2467"/>
      <c r="M170" s="2467"/>
      <c r="N170" s="2468"/>
      <c r="O170" s="1209"/>
      <c r="P170" s="2424" t="s">
        <v>1848</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1849</v>
      </c>
      <c r="D171" s="2415"/>
      <c r="E171" s="2415"/>
      <c r="F171" s="2415"/>
      <c r="G171" s="2415"/>
      <c r="H171" s="2415"/>
      <c r="I171" s="2415" t="s">
        <v>1850</v>
      </c>
      <c r="J171" s="2415"/>
      <c r="K171" s="2415"/>
      <c r="L171" s="2415"/>
      <c r="M171" s="2415"/>
      <c r="N171" s="2440"/>
      <c r="O171" s="1209"/>
      <c r="P171" s="2394" t="s">
        <v>2188</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2490</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2607</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2628</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1840</v>
      </c>
      <c r="D182" s="2467"/>
      <c r="E182" s="2467"/>
      <c r="F182" s="2467"/>
      <c r="G182" s="2467"/>
      <c r="H182" s="2467"/>
      <c r="I182" s="2467"/>
      <c r="J182" s="2467"/>
      <c r="K182" s="2467"/>
      <c r="L182" s="2467"/>
      <c r="M182" s="2467"/>
      <c r="N182" s="2467" t="s">
        <v>1851</v>
      </c>
      <c r="O182" s="2467"/>
      <c r="P182" s="2467"/>
      <c r="Q182" s="2467"/>
      <c r="R182" s="2467"/>
      <c r="S182" s="2467"/>
      <c r="T182" s="2467"/>
      <c r="U182" s="2362" t="s">
        <v>1840</v>
      </c>
      <c r="V182" s="2362"/>
      <c r="W182" s="2362"/>
      <c r="X182" s="2362"/>
      <c r="Y182" s="2362"/>
      <c r="Z182" s="2362"/>
      <c r="AA182" s="2362"/>
      <c r="AB182" s="2362"/>
      <c r="AC182" s="2362"/>
      <c r="AD182" s="2362"/>
      <c r="AE182" s="2363"/>
      <c r="AF182" s="1209"/>
      <c r="AG182" s="1209"/>
      <c r="AH182" s="2219" t="s">
        <v>2612</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2491</v>
      </c>
      <c r="D183" s="2210"/>
      <c r="E183" s="2210"/>
      <c r="F183" s="2210"/>
      <c r="G183" s="2210"/>
      <c r="H183" s="2210"/>
      <c r="I183" s="2210"/>
      <c r="J183" s="2210"/>
      <c r="K183" s="2210"/>
      <c r="L183" s="2210"/>
      <c r="M183" s="2210"/>
      <c r="N183" s="2472">
        <f ca="1">'Sources and Uses Budget'!B105</f>
        <v>76807741.537311003</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2611</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9"/>
      <c r="B184" s="1209"/>
      <c r="C184" s="2209" t="s">
        <v>2492</v>
      </c>
      <c r="D184" s="2210"/>
      <c r="E184" s="2210"/>
      <c r="F184" s="2210"/>
      <c r="G184" s="2210"/>
      <c r="H184" s="2210"/>
      <c r="I184" s="2210"/>
      <c r="J184" s="2210"/>
      <c r="K184" s="2210"/>
      <c r="L184" s="2210"/>
      <c r="M184" s="2210"/>
      <c r="N184" s="2472">
        <f ca="1">N183/J29</f>
        <v>775835.77310415159</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2610</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9"/>
      <c r="B185" s="1209"/>
      <c r="C185" s="2475" t="s">
        <v>2493</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2609</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2494</v>
      </c>
      <c r="D186" s="2210"/>
      <c r="E186" s="2210"/>
      <c r="F186" s="2210"/>
      <c r="G186" s="2210"/>
      <c r="H186" s="2210"/>
      <c r="I186" s="2210"/>
      <c r="J186" s="2210"/>
      <c r="K186" s="2210"/>
      <c r="L186" s="2210"/>
      <c r="M186" s="2210"/>
      <c r="N186" s="2471">
        <f>SUM('Sources and Uses Budget'!B85:B86)</f>
        <v>3467058</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2495</v>
      </c>
      <c r="D187" s="2210"/>
      <c r="E187" s="2210"/>
      <c r="F187" s="2210"/>
      <c r="G187" s="2210"/>
      <c r="H187" s="2210"/>
      <c r="I187" s="2210"/>
      <c r="J187" s="2210"/>
      <c r="K187" s="2210"/>
      <c r="L187" s="2210"/>
      <c r="M187" s="2210"/>
      <c r="N187" s="2471">
        <f>'Sources and Uses Budget'!B8</f>
        <v>2145000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1852</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2496</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1852</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2497</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2608</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1846</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2607</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1846</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1846</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1853</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1854</v>
      </c>
      <c r="D193" s="2497"/>
      <c r="E193" s="2497"/>
      <c r="F193" s="2497"/>
      <c r="G193" s="2497"/>
      <c r="H193" s="2497"/>
      <c r="I193" s="2497"/>
      <c r="J193" s="2497"/>
      <c r="K193" s="2497"/>
      <c r="L193" s="2497"/>
      <c r="M193" s="2497"/>
      <c r="N193" s="2498">
        <f>SUM(N185:T192)</f>
        <v>5612058</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2606</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2498</v>
      </c>
      <c r="D194" s="2540"/>
      <c r="E194" s="2540"/>
      <c r="F194" s="2540"/>
      <c r="G194" s="2540"/>
      <c r="H194" s="2540"/>
      <c r="I194" s="2540"/>
      <c r="J194" s="2540"/>
      <c r="K194" s="2540"/>
      <c r="L194" s="2540"/>
      <c r="M194" s="2540"/>
      <c r="N194" s="2541">
        <f ca="1">(N183-N193)/J29</f>
        <v>719148.31855869701</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2605</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2604</v>
      </c>
      <c r="D198" s="2199"/>
      <c r="E198" s="2199"/>
      <c r="F198" s="2199"/>
      <c r="G198" s="2199"/>
      <c r="H198" s="2199"/>
      <c r="I198" s="2199"/>
      <c r="J198" s="2199"/>
      <c r="K198" s="2199"/>
      <c r="L198" s="2199"/>
      <c r="M198" s="2199"/>
      <c r="N198" s="2199"/>
      <c r="O198" s="2200" t="s">
        <v>2603</v>
      </c>
      <c r="P198" s="2200"/>
      <c r="Q198" s="2200"/>
      <c r="R198" s="2200"/>
      <c r="S198" s="2200"/>
      <c r="T198" s="2200"/>
      <c r="U198" s="2200"/>
      <c r="V198" s="2200"/>
      <c r="W198" s="2200"/>
      <c r="X198" s="2200" t="s">
        <v>2602</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2601</v>
      </c>
      <c r="D199" s="2197"/>
      <c r="E199" s="2197"/>
      <c r="F199" s="2197"/>
      <c r="G199" s="2197"/>
      <c r="H199" s="2197"/>
      <c r="I199" s="2197"/>
      <c r="J199" s="2197"/>
      <c r="K199" s="2197"/>
      <c r="L199" s="2197"/>
      <c r="M199" s="2197"/>
      <c r="N199" s="2197"/>
      <c r="O199" s="2492" t="s">
        <v>2600</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866</v>
      </c>
      <c r="D200" s="2197"/>
      <c r="E200" s="2197"/>
      <c r="F200" s="2197"/>
      <c r="G200" s="2197"/>
      <c r="H200" s="2197"/>
      <c r="I200" s="2197"/>
      <c r="J200" s="2197"/>
      <c r="K200" s="2197"/>
      <c r="L200" s="2197"/>
      <c r="M200" s="2197"/>
      <c r="N200" s="2197"/>
      <c r="O200" s="2492" t="s">
        <v>2600</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2599</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2598</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2597</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2596</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2595</v>
      </c>
      <c r="D205" s="2518"/>
      <c r="E205" s="2518"/>
      <c r="F205" s="2519"/>
      <c r="G205" s="2523" t="s">
        <v>2594</v>
      </c>
      <c r="H205" s="2518"/>
      <c r="I205" s="2518"/>
      <c r="J205" s="2518"/>
      <c r="K205" s="2518"/>
      <c r="L205" s="2518"/>
      <c r="M205" s="2518"/>
      <c r="N205" s="2518"/>
      <c r="O205" s="2519"/>
      <c r="P205" s="2525" t="s">
        <v>2593</v>
      </c>
      <c r="Q205" s="2526"/>
      <c r="R205" s="2526"/>
      <c r="S205" s="2526"/>
      <c r="T205" s="2527"/>
      <c r="U205" s="2531" t="s">
        <v>2592</v>
      </c>
      <c r="V205" s="2532"/>
      <c r="W205" s="2532"/>
      <c r="X205" s="2533"/>
      <c r="Y205" s="2531" t="s">
        <v>2591</v>
      </c>
      <c r="Z205" s="2532"/>
      <c r="AA205" s="2532"/>
      <c r="AB205" s="2533"/>
      <c r="AC205" s="2531" t="s">
        <v>2590</v>
      </c>
      <c r="AD205" s="2532"/>
      <c r="AE205" s="2532"/>
      <c r="AF205" s="2533"/>
      <c r="AG205" s="2523" t="s">
        <v>2589</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2155</v>
      </c>
      <c r="H207" s="2178"/>
      <c r="I207" s="2178"/>
      <c r="J207" s="2178"/>
      <c r="K207" s="2178"/>
      <c r="L207" s="2178"/>
      <c r="M207" s="2178"/>
      <c r="N207" s="2178"/>
      <c r="O207" s="2178"/>
      <c r="P207" s="2179"/>
      <c r="Q207" s="2583"/>
      <c r="R207" s="2583"/>
      <c r="S207" s="2583"/>
      <c r="T207" s="2583"/>
      <c r="U207" s="2180" t="s">
        <v>2155</v>
      </c>
      <c r="V207" s="2180"/>
      <c r="W207" s="2180"/>
      <c r="X207" s="2180"/>
      <c r="Y207" s="2180" t="s">
        <v>2155</v>
      </c>
      <c r="Z207" s="2180"/>
      <c r="AA207" s="2180"/>
      <c r="AB207" s="2180"/>
      <c r="AC207" s="2181" t="s">
        <v>2155</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2155</v>
      </c>
      <c r="H208" s="2178"/>
      <c r="I208" s="2178"/>
      <c r="J208" s="2178"/>
      <c r="K208" s="2178"/>
      <c r="L208" s="2178"/>
      <c r="M208" s="2178"/>
      <c r="N208" s="2178"/>
      <c r="O208" s="2178"/>
      <c r="P208" s="2179"/>
      <c r="Q208" s="2179"/>
      <c r="R208" s="2179"/>
      <c r="S208" s="2179"/>
      <c r="T208" s="2179"/>
      <c r="U208" s="2180" t="s">
        <v>2155</v>
      </c>
      <c r="V208" s="2180"/>
      <c r="W208" s="2180"/>
      <c r="X208" s="2180"/>
      <c r="Y208" s="2180" t="s">
        <v>2155</v>
      </c>
      <c r="Z208" s="2180"/>
      <c r="AA208" s="2180"/>
      <c r="AB208" s="2180"/>
      <c r="AC208" s="2181" t="s">
        <v>2155</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2155</v>
      </c>
      <c r="H209" s="2178"/>
      <c r="I209" s="2178"/>
      <c r="J209" s="2178"/>
      <c r="K209" s="2178"/>
      <c r="L209" s="2178"/>
      <c r="M209" s="2178"/>
      <c r="N209" s="2178"/>
      <c r="O209" s="2178"/>
      <c r="P209" s="2179"/>
      <c r="Q209" s="2179"/>
      <c r="R209" s="2179"/>
      <c r="S209" s="2179"/>
      <c r="T209" s="2179"/>
      <c r="U209" s="2180" t="s">
        <v>2155</v>
      </c>
      <c r="V209" s="2180"/>
      <c r="W209" s="2180"/>
      <c r="X209" s="2180"/>
      <c r="Y209" s="2180" t="s">
        <v>2155</v>
      </c>
      <c r="Z209" s="2180"/>
      <c r="AA209" s="2180"/>
      <c r="AB209" s="2180"/>
      <c r="AC209" s="2181" t="s">
        <v>2155</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2155</v>
      </c>
      <c r="H210" s="2178"/>
      <c r="I210" s="2178"/>
      <c r="J210" s="2178"/>
      <c r="K210" s="2178"/>
      <c r="L210" s="2178"/>
      <c r="M210" s="2178"/>
      <c r="N210" s="2178"/>
      <c r="O210" s="2178"/>
      <c r="P210" s="2179"/>
      <c r="Q210" s="2179"/>
      <c r="R210" s="2179"/>
      <c r="S210" s="2179"/>
      <c r="T210" s="2179"/>
      <c r="U210" s="2180" t="s">
        <v>2155</v>
      </c>
      <c r="V210" s="2180"/>
      <c r="W210" s="2180"/>
      <c r="X210" s="2180"/>
      <c r="Y210" s="2180" t="s">
        <v>2155</v>
      </c>
      <c r="Z210" s="2180"/>
      <c r="AA210" s="2180"/>
      <c r="AB210" s="2180"/>
      <c r="AC210" s="2181" t="s">
        <v>2155</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2155</v>
      </c>
      <c r="V211" s="2180"/>
      <c r="W211" s="2180"/>
      <c r="X211" s="2180"/>
      <c r="Y211" s="2180" t="s">
        <v>2155</v>
      </c>
      <c r="Z211" s="2180"/>
      <c r="AA211" s="2180"/>
      <c r="AB211" s="2180"/>
      <c r="AC211" s="2181" t="s">
        <v>2155</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2155</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2155</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2155</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2588</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1855</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1856</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1857</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1858</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1860</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2499</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1861</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1862</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1863</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444</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1864</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1865</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H70" sqref="AH7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1391</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 ca="1">IF('Sources and Basis Breakdown'!F107=0,'Sources and Basis Breakdown'!E107,'Sources and Basis Breakdown'!F107)</f>
        <v>71226765.343381613</v>
      </c>
      <c r="U11" s="2663"/>
      <c r="V11" s="2663"/>
      <c r="W11" s="2663"/>
      <c r="X11" s="2663"/>
      <c r="Y11" s="2662">
        <f ca="1">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57" t="s">
        <v>980</v>
      </c>
      <c r="D18" s="1657"/>
      <c r="E18" s="1657"/>
      <c r="F18" s="1657"/>
      <c r="G18" s="1657"/>
      <c r="H18" s="1657"/>
      <c r="I18" s="1657"/>
      <c r="J18" s="1657"/>
      <c r="K18" s="1657"/>
      <c r="L18" s="1657"/>
      <c r="M18" s="1657"/>
      <c r="N18" s="1657"/>
      <c r="O18" s="1657"/>
      <c r="P18" s="1657"/>
      <c r="Q18" s="1657"/>
      <c r="R18" s="1657"/>
      <c r="S18" s="1658"/>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57" t="s">
        <v>980</v>
      </c>
      <c r="D19" s="1657"/>
      <c r="E19" s="1657"/>
      <c r="F19" s="1657"/>
      <c r="G19" s="1657"/>
      <c r="H19" s="1657"/>
      <c r="I19" s="1657"/>
      <c r="J19" s="1657"/>
      <c r="K19" s="1657"/>
      <c r="L19" s="1657"/>
      <c r="M19" s="1657"/>
      <c r="N19" s="1657"/>
      <c r="O19" s="1657"/>
      <c r="P19" s="1657"/>
      <c r="Q19" s="1657"/>
      <c r="R19" s="1657"/>
      <c r="S19" s="1658"/>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1374</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 ca="1">T11+T22</f>
        <v>71226765.343381613</v>
      </c>
      <c r="U23" s="2617"/>
      <c r="V23" s="2617"/>
      <c r="W23" s="2617"/>
      <c r="X23" s="2617"/>
      <c r="Y23" s="2639">
        <f ca="1">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122678320.89999999</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1375</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 ca="1">T23*T25</f>
        <v>92594794.946396098</v>
      </c>
      <c r="U26" s="2617"/>
      <c r="V26" s="2617"/>
      <c r="W26" s="2617"/>
      <c r="X26" s="2617"/>
      <c r="Y26" s="2639">
        <f ca="1">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 ca="1">IF(ISERROR((T26*T27)),0,(T26*T27))</f>
        <v>92594794.946396098</v>
      </c>
      <c r="U28" s="2617"/>
      <c r="V28" s="2617"/>
      <c r="W28" s="2617"/>
      <c r="X28" s="2617"/>
      <c r="Y28" s="2639">
        <f ca="1">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 ca="1">T28+Y28+AD28+AI28</f>
        <v>92594794.946396098</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1377</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1376</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 ca="1">IF(T24&gt;=(T23+Y23+AD23+AI23),T28+Y28,0)</f>
        <v>92594794.946396098</v>
      </c>
      <c r="Z38" s="2617"/>
      <c r="AA38" s="2617"/>
      <c r="AB38" s="2617"/>
      <c r="AC38" s="2617"/>
      <c r="AD38" s="2617">
        <f ca="1">IF(T24&gt;=(T23+Y23+AD23+AI23),AD28+AI28,0)</f>
        <v>0</v>
      </c>
      <c r="AE38" s="2617"/>
      <c r="AF38" s="2617"/>
      <c r="AG38" s="2617"/>
      <c r="AH38" s="2617"/>
    </row>
    <row r="39" spans="1:76" ht="12.95" customHeight="1">
      <c r="B39" s="2623" t="s">
        <v>1882</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 ca="1">ROUND(Y38*Y39,0)</f>
        <v>3703792</v>
      </c>
      <c r="Z40" s="2617"/>
      <c r="AA40" s="2617"/>
      <c r="AB40" s="2617"/>
      <c r="AC40" s="2617"/>
      <c r="AD40" s="2639">
        <f ca="1">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 ca="1">Y40+AD40</f>
        <v>3703792</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1387</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595</v>
      </c>
      <c r="C46" s="435" t="s">
        <v>283</v>
      </c>
    </row>
    <row r="47" spans="1:76" ht="12.95" customHeight="1">
      <c r="D47" s="435" t="s">
        <v>284</v>
      </c>
      <c r="AB47" s="2631">
        <f ca="1">'Sources and Uses Budget'!B105-MAX(IF('Sources and Uses Budget'!B15="",0,'Sources and Uses Budget'!B15),IF(Application!AG394="",0,Application!AG394))</f>
        <v>76807741.537311003</v>
      </c>
      <c r="AC47" s="2632"/>
      <c r="AD47" s="2632"/>
      <c r="AE47" s="2632"/>
      <c r="AF47" s="2633"/>
    </row>
    <row r="48" spans="1:76" ht="12.95" customHeight="1">
      <c r="D48" s="435" t="s">
        <v>21</v>
      </c>
      <c r="AB48" s="2631">
        <f>Application!AO639-MAX(IF('Sources and Uses Budget'!B15="",0,'Sources and Uses Budget'!B15),IF(Application!AG394="",0,Application!AG394))</f>
        <v>32649822</v>
      </c>
      <c r="AC48" s="2632"/>
      <c r="AD48" s="2632"/>
      <c r="AE48" s="2632"/>
      <c r="AF48" s="2633"/>
    </row>
    <row r="49" spans="1:76" ht="12.95" customHeight="1">
      <c r="D49" s="435" t="s">
        <v>91</v>
      </c>
      <c r="AB49" s="2631">
        <f ca="1">AB47-AB48</f>
        <v>44157919.537311003</v>
      </c>
      <c r="AC49" s="2632"/>
      <c r="AD49" s="2632"/>
      <c r="AE49" s="2632"/>
      <c r="AF49" s="2633"/>
    </row>
    <row r="50" spans="1:76" ht="12.95" customHeight="1">
      <c r="D50" s="435" t="s">
        <v>690</v>
      </c>
      <c r="AA50" s="446"/>
      <c r="AB50" s="2619">
        <f>[1]EVERYTHING!$H$123-0.00000005</f>
        <v>0.89608504311770876</v>
      </c>
      <c r="AC50" s="2620"/>
      <c r="AD50" s="2620"/>
      <c r="AE50" s="2620"/>
      <c r="AF50" s="2621"/>
    </row>
    <row r="51" spans="1:76" s="448" customFormat="1" ht="12.95" customHeight="1">
      <c r="A51" s="433"/>
      <c r="B51" s="433"/>
      <c r="C51" s="433"/>
      <c r="D51" s="433"/>
      <c r="E51" s="2630" t="s">
        <v>2042</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 ca="1">ROUND(IF(ISERROR((AB49/AB50)),0,(AB49/AB50)),0)</f>
        <v>49278715</v>
      </c>
      <c r="AC54" s="2632"/>
      <c r="AD54" s="2632"/>
      <c r="AE54" s="2632"/>
      <c r="AF54" s="2633"/>
    </row>
    <row r="55" spans="1:76" ht="12.95" customHeight="1">
      <c r="D55" s="435" t="s">
        <v>334</v>
      </c>
      <c r="AB55" s="2631">
        <f ca="1">(AB54/10)</f>
        <v>4927871.5</v>
      </c>
      <c r="AC55" s="2632"/>
      <c r="AD55" s="2632"/>
      <c r="AE55" s="2632"/>
      <c r="AF55" s="2633"/>
    </row>
    <row r="56" spans="1:76" ht="12.95" customHeight="1">
      <c r="D56" s="435" t="s">
        <v>766</v>
      </c>
      <c r="AB56" s="2634">
        <f ca="1">(IF((Y41&lt;AB55),Y41,AB55))</f>
        <v>3703792</v>
      </c>
      <c r="AC56" s="2635"/>
      <c r="AD56" s="2635"/>
      <c r="AE56" s="2635"/>
      <c r="AF56" s="2636"/>
    </row>
    <row r="57" spans="1:76" ht="12.95" customHeight="1">
      <c r="D57" s="435" t="s">
        <v>765</v>
      </c>
      <c r="AB57" s="2631">
        <f ca="1">ROUND((10*AB56*AB50),0)</f>
        <v>33189126</v>
      </c>
      <c r="AC57" s="2632"/>
      <c r="AD57" s="2632"/>
      <c r="AE57" s="2632"/>
      <c r="AF57" s="2633"/>
    </row>
    <row r="58" spans="1:76" ht="12.95" customHeight="1">
      <c r="D58" s="435"/>
      <c r="AB58" s="454"/>
      <c r="AC58" s="454"/>
      <c r="AD58" s="454"/>
      <c r="AE58" s="454"/>
      <c r="AF58" s="454"/>
    </row>
    <row r="59" spans="1:76" ht="12.95" customHeight="1">
      <c r="D59" s="435" t="s">
        <v>764</v>
      </c>
      <c r="AB59" s="2615">
        <f ca="1">AB49-AB57</f>
        <v>10968793.537311003</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598</v>
      </c>
      <c r="C63" s="219" t="s">
        <v>1358</v>
      </c>
      <c r="Y63" s="2626" t="s">
        <v>1004</v>
      </c>
      <c r="Z63" s="2626"/>
      <c r="AA63" s="2626"/>
      <c r="AB63" s="2626"/>
      <c r="AC63" s="2626"/>
      <c r="AD63" s="2626" t="s">
        <v>370</v>
      </c>
      <c r="AE63" s="2626"/>
      <c r="AF63" s="2626"/>
      <c r="AG63" s="2626"/>
      <c r="AH63" s="2626"/>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7">
        <f ca="1">IF(Application!Z205="(select)",0,((T23*T27)+Y28))</f>
        <v>71226765.343381613</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1360</v>
      </c>
      <c r="Y68" s="2617">
        <f ca="1">ROUND(Y64*Y67,0)</f>
        <v>21368030</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9">
        <f>[1]EVERYTHING!$F$124-0.000000008</f>
        <v>0.79999999200000005</v>
      </c>
      <c r="AC71" s="2620"/>
      <c r="AD71" s="2620"/>
      <c r="AE71" s="2620"/>
      <c r="AF71" s="2621"/>
    </row>
    <row r="72" spans="1:36" ht="12.95" customHeight="1">
      <c r="A72" s="435"/>
      <c r="C72" s="435"/>
      <c r="D72" s="435"/>
      <c r="E72" s="2622" t="s">
        <v>1362</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0">
        <f ca="1">ROUND(IF(ISERROR((AB59/AB71)),0,(AB59/AB71)),0)</f>
        <v>13710992</v>
      </c>
      <c r="AC76" s="2610"/>
      <c r="AD76" s="2610"/>
      <c r="AE76" s="2610"/>
      <c r="AF76" s="2610"/>
    </row>
    <row r="77" spans="1:36" ht="12.95" customHeight="1">
      <c r="C77" s="435"/>
      <c r="D77" s="219" t="s">
        <v>1364</v>
      </c>
      <c r="AB77" s="2611">
        <f ca="1">IF((Y68+AD68&lt;AB76),Y68+AD68,AB76)</f>
        <v>13710992</v>
      </c>
      <c r="AC77" s="2612"/>
      <c r="AD77" s="2612"/>
      <c r="AE77" s="2612"/>
      <c r="AF77" s="2613"/>
    </row>
    <row r="78" spans="1:36" ht="12.95" customHeight="1">
      <c r="C78" s="435"/>
      <c r="D78" s="219" t="s">
        <v>1365</v>
      </c>
      <c r="AB78" s="2614">
        <f ca="1">AB77*AB71</f>
        <v>10968793.490312064</v>
      </c>
      <c r="AC78" s="2614"/>
      <c r="AD78" s="2614"/>
      <c r="AE78" s="2614"/>
      <c r="AF78" s="2614"/>
    </row>
    <row r="79" spans="1:36" ht="12.95" customHeight="1">
      <c r="C79" s="435"/>
      <c r="D79" s="435"/>
      <c r="AB79" s="456"/>
      <c r="AC79" s="456"/>
      <c r="AD79" s="456"/>
      <c r="AE79" s="456"/>
      <c r="AF79" s="456"/>
    </row>
    <row r="80" spans="1:36" ht="12.95" customHeight="1">
      <c r="D80" s="435" t="s">
        <v>764</v>
      </c>
      <c r="AB80" s="2615">
        <f ca="1">AB49-(AB57+AB78)</f>
        <v>4.6998940408229828E-2</v>
      </c>
      <c r="AC80" s="2615"/>
      <c r="AD80" s="2615"/>
      <c r="AE80" s="2615"/>
      <c r="AF80" s="2615"/>
    </row>
    <row r="81" spans="1:78" ht="12.95" customHeight="1">
      <c r="F81" s="556"/>
      <c r="J81" s="556" t="str">
        <f ca="1">IF(AB80&gt;0,"FUNDING GAP MUST NOT EXCEED ZERO","")</f>
        <v>FUNDING GAP MUST NOT EXCEED ZERO</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23" sqref="C2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6</v>
      </c>
      <c r="C4" s="1122"/>
      <c r="D4" s="459">
        <f>Application!O718</f>
        <v>379</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t="s">
        <v>386</v>
      </c>
      <c r="D5" s="459">
        <f>Application!O719</f>
        <v>554</v>
      </c>
      <c r="E5" s="460"/>
      <c r="F5" s="1123">
        <f>[1]EVERYTHING!$AD$40</f>
        <v>1438</v>
      </c>
      <c r="G5" s="459">
        <f t="shared" ref="G5:G38" si="2">F5*B5</f>
        <v>4314</v>
      </c>
      <c r="H5" s="460"/>
      <c r="I5" s="459">
        <f t="shared" si="0"/>
        <v>884</v>
      </c>
      <c r="J5" s="459">
        <f t="shared" si="1"/>
        <v>2652</v>
      </c>
      <c r="K5" s="218"/>
      <c r="L5" s="328"/>
    </row>
    <row r="6" spans="1:12">
      <c r="A6" s="459" t="str">
        <f>Application!B720</f>
        <v>1 Bedroom</v>
      </c>
      <c r="B6" s="1121">
        <f>Application!G720</f>
        <v>19</v>
      </c>
      <c r="C6" s="1122"/>
      <c r="D6" s="459">
        <f>Application!O720</f>
        <v>554</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729</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904</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451</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t="s">
        <v>386</v>
      </c>
      <c r="D10" s="459">
        <f>Application!O724</f>
        <v>661</v>
      </c>
      <c r="E10" s="460"/>
      <c r="F10" s="1123">
        <f>[1]EVERYTHING!$AD$45</f>
        <v>1780</v>
      </c>
      <c r="G10" s="459">
        <f t="shared" si="2"/>
        <v>8900</v>
      </c>
      <c r="H10" s="460"/>
      <c r="I10" s="459">
        <f t="shared" si="0"/>
        <v>1119</v>
      </c>
      <c r="J10" s="459">
        <f t="shared" si="1"/>
        <v>5595</v>
      </c>
      <c r="K10" s="218"/>
      <c r="L10" s="328"/>
    </row>
    <row r="11" spans="1:12">
      <c r="A11" s="459" t="str">
        <f>Application!B725</f>
        <v>2 Bedrooms</v>
      </c>
      <c r="B11" s="1121">
        <f>Application!G725</f>
        <v>18</v>
      </c>
      <c r="C11" s="1122"/>
      <c r="D11" s="459">
        <f>Application!O725</f>
        <v>661</v>
      </c>
      <c r="E11" s="460"/>
      <c r="F11" s="1123"/>
      <c r="G11" s="459">
        <f t="shared" si="2"/>
        <v>0</v>
      </c>
      <c r="H11" s="460"/>
      <c r="I11" s="459" t="str">
        <f t="shared" si="0"/>
        <v/>
      </c>
      <c r="J11" s="459" t="str">
        <f t="shared" si="1"/>
        <v/>
      </c>
      <c r="K11" s="218"/>
      <c r="L11" s="328"/>
    </row>
    <row r="12" spans="1:12">
      <c r="A12" s="459" t="str">
        <f>Application!B726</f>
        <v>2 Bedrooms</v>
      </c>
      <c r="B12" s="1121">
        <f>Application!G726</f>
        <v>3</v>
      </c>
      <c r="C12" s="1122"/>
      <c r="D12" s="459">
        <f>Application!O726</f>
        <v>870</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1080</v>
      </c>
      <c r="E13" s="460"/>
      <c r="F13" s="1123"/>
      <c r="G13" s="459">
        <f t="shared" si="2"/>
        <v>0</v>
      </c>
      <c r="H13" s="460"/>
      <c r="I13" s="459" t="str">
        <f t="shared" si="0"/>
        <v/>
      </c>
      <c r="J13" s="459" t="str">
        <f t="shared" si="1"/>
        <v/>
      </c>
      <c r="K13" s="218"/>
      <c r="L13" s="328"/>
    </row>
    <row r="14" spans="1:12">
      <c r="A14" s="459" t="str">
        <f>Application!B728</f>
        <v>3 Bedrooms</v>
      </c>
      <c r="B14" s="1121">
        <f>Application!G728</f>
        <v>3</v>
      </c>
      <c r="C14" s="1122" t="s">
        <v>386</v>
      </c>
      <c r="D14" s="459">
        <f>Application!O728</f>
        <v>514</v>
      </c>
      <c r="E14" s="460"/>
      <c r="F14" s="1123">
        <f>[1]EVERYTHING!$AD$48</f>
        <v>2764</v>
      </c>
      <c r="G14" s="459">
        <f t="shared" si="2"/>
        <v>8292</v>
      </c>
      <c r="H14" s="460"/>
      <c r="I14" s="459">
        <f t="shared" si="0"/>
        <v>2250</v>
      </c>
      <c r="J14" s="459">
        <f t="shared" si="1"/>
        <v>6750</v>
      </c>
      <c r="K14" s="218"/>
      <c r="L14" s="328"/>
    </row>
    <row r="15" spans="1:12">
      <c r="A15" s="459" t="str">
        <f>Application!B729</f>
        <v>3 Bedrooms</v>
      </c>
      <c r="B15" s="1121">
        <f>Application!G729</f>
        <v>4</v>
      </c>
      <c r="C15" s="1122"/>
      <c r="D15" s="459">
        <f>Application!O729</f>
        <v>514</v>
      </c>
      <c r="E15" s="460"/>
      <c r="F15" s="1123"/>
      <c r="G15" s="459">
        <f t="shared" si="2"/>
        <v>0</v>
      </c>
      <c r="H15" s="460"/>
      <c r="I15" s="459" t="str">
        <f t="shared" si="0"/>
        <v/>
      </c>
      <c r="J15" s="459" t="str">
        <f t="shared" si="1"/>
        <v/>
      </c>
      <c r="K15" s="218"/>
      <c r="L15" s="328"/>
    </row>
    <row r="16" spans="1:12">
      <c r="A16" s="459" t="str">
        <f>Application!B730</f>
        <v>3 Bedrooms</v>
      </c>
      <c r="B16" s="1121">
        <f>Application!G730</f>
        <v>8</v>
      </c>
      <c r="C16" s="1122" t="s">
        <v>386</v>
      </c>
      <c r="D16" s="459">
        <f>Application!O730</f>
        <v>756</v>
      </c>
      <c r="E16" s="460"/>
      <c r="F16" s="1123">
        <f>F14</f>
        <v>2764</v>
      </c>
      <c r="G16" s="459">
        <f t="shared" si="2"/>
        <v>22112</v>
      </c>
      <c r="H16" s="460"/>
      <c r="I16" s="459">
        <f t="shared" si="0"/>
        <v>2008</v>
      </c>
      <c r="J16" s="459">
        <f t="shared" si="1"/>
        <v>16064</v>
      </c>
      <c r="K16" s="218"/>
      <c r="L16" s="328"/>
    </row>
    <row r="17" spans="1:12">
      <c r="A17" s="459" t="str">
        <f>Application!B731</f>
        <v>3 Bedrooms</v>
      </c>
      <c r="B17" s="1121">
        <f>Application!G731</f>
        <v>4</v>
      </c>
      <c r="C17" s="1122"/>
      <c r="D17" s="459">
        <f>Application!O731</f>
        <v>756</v>
      </c>
      <c r="E17" s="460"/>
      <c r="F17" s="1123"/>
      <c r="G17" s="459">
        <f t="shared" si="2"/>
        <v>0</v>
      </c>
      <c r="H17" s="460"/>
      <c r="I17" s="459" t="str">
        <f t="shared" si="0"/>
        <v/>
      </c>
      <c r="J17" s="459" t="str">
        <f t="shared" si="1"/>
        <v/>
      </c>
      <c r="K17" s="218"/>
      <c r="L17" s="328"/>
    </row>
    <row r="18" spans="1:12">
      <c r="A18" s="459" t="str">
        <f>Application!B732</f>
        <v>3 Bedrooms</v>
      </c>
      <c r="B18" s="1121">
        <f>Application!G732</f>
        <v>3</v>
      </c>
      <c r="C18" s="1122" t="s">
        <v>386</v>
      </c>
      <c r="D18" s="459">
        <f>Application!O732</f>
        <v>998</v>
      </c>
      <c r="E18" s="460"/>
      <c r="F18" s="1123">
        <f>F16</f>
        <v>2764</v>
      </c>
      <c r="G18" s="459">
        <f t="shared" si="2"/>
        <v>8292</v>
      </c>
      <c r="H18" s="460"/>
      <c r="I18" s="459">
        <f t="shared" si="0"/>
        <v>1766</v>
      </c>
      <c r="J18" s="459">
        <f t="shared" si="1"/>
        <v>5298</v>
      </c>
      <c r="K18" s="218"/>
      <c r="L18" s="328"/>
    </row>
    <row r="19" spans="1:12">
      <c r="A19" s="459" t="str">
        <f>Application!B733</f>
        <v>3 Bedrooms</v>
      </c>
      <c r="B19" s="1121">
        <f>Application!G733</f>
        <v>2</v>
      </c>
      <c r="C19" s="1122"/>
      <c r="D19" s="459">
        <f>Application!O733</f>
        <v>998</v>
      </c>
      <c r="E19" s="460"/>
      <c r="F19" s="1123"/>
      <c r="G19" s="459">
        <f t="shared" si="2"/>
        <v>0</v>
      </c>
      <c r="H19" s="460"/>
      <c r="I19" s="459" t="str">
        <f t="shared" si="0"/>
        <v/>
      </c>
      <c r="J19" s="459" t="str">
        <f t="shared" si="1"/>
        <v/>
      </c>
      <c r="K19" s="218"/>
      <c r="L19" s="328"/>
    </row>
    <row r="20" spans="1:12">
      <c r="A20" s="459" t="str">
        <f>Application!B734</f>
        <v>3 Bedrooms</v>
      </c>
      <c r="B20" s="1121">
        <f>Application!G734</f>
        <v>2</v>
      </c>
      <c r="C20" s="1122"/>
      <c r="D20" s="459">
        <f>Application!O734</f>
        <v>1241</v>
      </c>
      <c r="E20" s="460"/>
      <c r="F20" s="1123"/>
      <c r="G20" s="459">
        <f t="shared" si="2"/>
        <v>0</v>
      </c>
      <c r="H20" s="460"/>
      <c r="I20" s="459" t="str">
        <f t="shared" si="0"/>
        <v/>
      </c>
      <c r="J20" s="459" t="str">
        <f t="shared" si="1"/>
        <v/>
      </c>
      <c r="K20" s="218"/>
      <c r="L20" s="328"/>
    </row>
    <row r="21" spans="1:12">
      <c r="A21" s="459" t="str">
        <f>Application!B735</f>
        <v>4 Bedrooms</v>
      </c>
      <c r="B21" s="1121">
        <f>Application!G735</f>
        <v>1</v>
      </c>
      <c r="C21" s="1122" t="s">
        <v>386</v>
      </c>
      <c r="D21" s="459">
        <f>Application!O735</f>
        <v>563</v>
      </c>
      <c r="E21" s="460"/>
      <c r="F21" s="1123">
        <f>[1]EVERYTHING!$AD$52</f>
        <v>2942</v>
      </c>
      <c r="G21" s="459">
        <f t="shared" si="2"/>
        <v>2942</v>
      </c>
      <c r="H21" s="460"/>
      <c r="I21" s="459">
        <f t="shared" si="0"/>
        <v>2379</v>
      </c>
      <c r="J21" s="459">
        <f t="shared" si="1"/>
        <v>2379</v>
      </c>
      <c r="K21" s="218"/>
      <c r="L21" s="328"/>
    </row>
    <row r="22" spans="1:12">
      <c r="A22" s="459" t="str">
        <f>Application!B736</f>
        <v>4 Bedrooms</v>
      </c>
      <c r="B22" s="1121">
        <f>Application!G736</f>
        <v>2</v>
      </c>
      <c r="C22" s="1122"/>
      <c r="D22" s="459">
        <f>Application!O736</f>
        <v>563</v>
      </c>
      <c r="E22" s="460"/>
      <c r="F22" s="1123"/>
      <c r="G22" s="459">
        <f t="shared" si="2"/>
        <v>0</v>
      </c>
      <c r="H22" s="460"/>
      <c r="I22" s="459" t="str">
        <f t="shared" si="0"/>
        <v/>
      </c>
      <c r="J22" s="459" t="str">
        <f t="shared" si="1"/>
        <v/>
      </c>
      <c r="K22" s="218"/>
      <c r="L22" s="328"/>
    </row>
    <row r="23" spans="1:12">
      <c r="A23" s="459" t="str">
        <f>Application!B737</f>
        <v>4 Bedrooms</v>
      </c>
      <c r="B23" s="1121">
        <f>Application!G737</f>
        <v>2</v>
      </c>
      <c r="C23" s="1122" t="s">
        <v>386</v>
      </c>
      <c r="D23" s="459">
        <f>Application!O737</f>
        <v>834</v>
      </c>
      <c r="E23" s="460"/>
      <c r="F23" s="1123">
        <f>F21</f>
        <v>2942</v>
      </c>
      <c r="G23" s="459">
        <f t="shared" si="2"/>
        <v>5884</v>
      </c>
      <c r="H23" s="460"/>
      <c r="I23" s="459">
        <f t="shared" si="0"/>
        <v>2108</v>
      </c>
      <c r="J23" s="459">
        <f t="shared" si="1"/>
        <v>4216</v>
      </c>
      <c r="K23" s="218"/>
      <c r="L23" s="328"/>
    </row>
    <row r="24" spans="1:12">
      <c r="A24" s="459" t="str">
        <f>Application!B738</f>
        <v>4 Bedrooms</v>
      </c>
      <c r="B24" s="1121">
        <f>Application!G738</f>
        <v>3</v>
      </c>
      <c r="C24" s="1122"/>
      <c r="D24" s="459">
        <f>Application!O738</f>
        <v>1104</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65685</v>
      </c>
      <c r="E40" s="460"/>
      <c r="F40" s="460"/>
      <c r="G40" s="463">
        <f>SUM(G4:G38)*12</f>
        <v>728832</v>
      </c>
      <c r="H40" s="464"/>
      <c r="I40" s="462"/>
      <c r="J40" s="463">
        <f>SUM(J4:J38)*12</f>
        <v>515448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workbookViewId="0">
      <selection activeCell="A43" sqref="A4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788220</v>
      </c>
      <c r="G4" s="235">
        <f>E4*$C$4</f>
        <v>807925.49999999988</v>
      </c>
      <c r="I4" s="235">
        <f>G4*$C$4</f>
        <v>828123.63749999984</v>
      </c>
      <c r="K4" s="235">
        <f>I4*$C$4</f>
        <v>848826.72843749973</v>
      </c>
      <c r="M4" s="235">
        <f>K4*$C$4</f>
        <v>870047.39664843713</v>
      </c>
      <c r="O4" s="235">
        <f>M4*$C$4</f>
        <v>891798.58156464796</v>
      </c>
      <c r="Q4" s="235">
        <f>O4*$C$4</f>
        <v>914093.54610376409</v>
      </c>
      <c r="S4" s="235">
        <f>Q4*$C$4</f>
        <v>936945.88475635811</v>
      </c>
      <c r="U4" s="235">
        <f>S4*$C$4</f>
        <v>960369.53187526693</v>
      </c>
      <c r="W4" s="235">
        <f>U4*$C$4</f>
        <v>984378.77017214848</v>
      </c>
      <c r="Y4" s="235">
        <f>W4*$C$4</f>
        <v>1008988.2394264521</v>
      </c>
      <c r="AA4" s="235">
        <f>Y4*$C$4</f>
        <v>1034212.9454121133</v>
      </c>
      <c r="AC4" s="235">
        <f>AA4*$C$4</f>
        <v>1060068.269047416</v>
      </c>
      <c r="AE4" s="235">
        <f>AC4*$C$4</f>
        <v>1086569.9757736013</v>
      </c>
      <c r="AG4" s="235">
        <f>AE4*$C$4</f>
        <v>1113734.2251679413</v>
      </c>
    </row>
    <row r="5" spans="1:34" s="225" customFormat="1" ht="14.25">
      <c r="B5" s="225" t="s">
        <v>850</v>
      </c>
      <c r="C5" s="254">
        <f>IF(Application!$D$211="Special Needs",0.1,0.05)</f>
        <v>0.05</v>
      </c>
      <c r="E5" s="237">
        <f>-E4*$C$5</f>
        <v>-39411</v>
      </c>
      <c r="F5" s="237"/>
      <c r="G5" s="237">
        <f>-G4*$C$5</f>
        <v>-40396.274999999994</v>
      </c>
      <c r="H5" s="237"/>
      <c r="I5" s="237">
        <f>-I4*$C$5</f>
        <v>-41406.181874999995</v>
      </c>
      <c r="J5" s="237"/>
      <c r="K5" s="237">
        <f>-K4*$C$5</f>
        <v>-42441.336421874992</v>
      </c>
      <c r="L5" s="237"/>
      <c r="M5" s="237">
        <f>-M4*$C$5</f>
        <v>-43502.369832421857</v>
      </c>
      <c r="N5" s="237"/>
      <c r="O5" s="237">
        <f>-O4*$C$5</f>
        <v>-44589.929078232402</v>
      </c>
      <c r="P5" s="237"/>
      <c r="Q5" s="237">
        <f>-Q4*$C$5</f>
        <v>-45704.677305188205</v>
      </c>
      <c r="R5" s="237"/>
      <c r="S5" s="237">
        <f>-S4*$C$5</f>
        <v>-46847.294237817907</v>
      </c>
      <c r="T5" s="237"/>
      <c r="U5" s="237">
        <f>-U4*$C$5</f>
        <v>-48018.476593763349</v>
      </c>
      <c r="V5" s="237"/>
      <c r="W5" s="237">
        <f>-W4*$C$5</f>
        <v>-49218.938508607425</v>
      </c>
      <c r="X5" s="237"/>
      <c r="Y5" s="237">
        <f>-Y4*$C$5</f>
        <v>-50449.41197132261</v>
      </c>
      <c r="Z5" s="237"/>
      <c r="AA5" s="237">
        <f>-AA4*$C$5</f>
        <v>-51710.647270605667</v>
      </c>
      <c r="AB5" s="237"/>
      <c r="AC5" s="237">
        <f>-AC4*$C$5</f>
        <v>-53003.413452370805</v>
      </c>
      <c r="AD5" s="237"/>
      <c r="AE5" s="237">
        <f>-AE4*$C$5</f>
        <v>-54328.498788680066</v>
      </c>
      <c r="AF5" s="237"/>
      <c r="AG5" s="237">
        <f>-AG4*$C$5</f>
        <v>-55686.711258397067</v>
      </c>
    </row>
    <row r="6" spans="1:34" s="225" customFormat="1" ht="14.25">
      <c r="A6" s="225" t="s">
        <v>848</v>
      </c>
      <c r="C6" s="253">
        <v>1.0249999999999999</v>
      </c>
      <c r="E6" s="238">
        <f>Application!Z809</f>
        <v>515448</v>
      </c>
      <c r="F6" s="238"/>
      <c r="G6" s="238">
        <f>E6*$C$6</f>
        <v>528334.19999999995</v>
      </c>
      <c r="H6" s="238"/>
      <c r="I6" s="238">
        <f>G6*$C$6</f>
        <v>541542.55499999993</v>
      </c>
      <c r="J6" s="238"/>
      <c r="K6" s="238">
        <f>I6*$C$6</f>
        <v>555081.11887499993</v>
      </c>
      <c r="L6" s="238"/>
      <c r="M6" s="238">
        <f>K6*$C$6</f>
        <v>568958.14684687485</v>
      </c>
      <c r="N6" s="238"/>
      <c r="O6" s="238">
        <f>M6*$C$6</f>
        <v>583182.10051804665</v>
      </c>
      <c r="P6" s="238"/>
      <c r="Q6" s="238">
        <f>O6*$C$6</f>
        <v>597761.65303099772</v>
      </c>
      <c r="R6" s="238"/>
      <c r="S6" s="238">
        <f>Q6*$C$6</f>
        <v>612705.69435677258</v>
      </c>
      <c r="T6" s="238"/>
      <c r="U6" s="238">
        <f>S6*$C$6</f>
        <v>628023.33671569184</v>
      </c>
      <c r="V6" s="238"/>
      <c r="W6" s="238">
        <f>U6*$C$6</f>
        <v>643723.92013358406</v>
      </c>
      <c r="X6" s="238"/>
      <c r="Y6" s="238">
        <f>W6*$C$6</f>
        <v>659817.01813692355</v>
      </c>
      <c r="Z6" s="238"/>
      <c r="AA6" s="238">
        <f>Y6*$C$6</f>
        <v>676312.44359034661</v>
      </c>
      <c r="AB6" s="238"/>
      <c r="AC6" s="238">
        <f>AA6*$C$6</f>
        <v>693220.25468010525</v>
      </c>
      <c r="AD6" s="238"/>
      <c r="AE6" s="238">
        <f>AC6*$C$6</f>
        <v>710550.76104710787</v>
      </c>
      <c r="AF6" s="238"/>
      <c r="AG6" s="238">
        <f>AE6*$C$6</f>
        <v>728314.53007328545</v>
      </c>
    </row>
    <row r="7" spans="1:34" s="225" customFormat="1" ht="14.25">
      <c r="B7" s="225" t="s">
        <v>850</v>
      </c>
      <c r="C7" s="254">
        <f>IF(Application!$D$211="Special Needs",0.1,0.05)</f>
        <v>0.05</v>
      </c>
      <c r="E7" s="237">
        <f>-E6*$C$7</f>
        <v>-25772.400000000001</v>
      </c>
      <c r="F7" s="237"/>
      <c r="G7" s="237">
        <f>-G6*$C$7</f>
        <v>-26416.71</v>
      </c>
      <c r="H7" s="237"/>
      <c r="I7" s="237">
        <f>-I6*$C$7</f>
        <v>-27077.12775</v>
      </c>
      <c r="J7" s="237"/>
      <c r="K7" s="237">
        <f>-K6*$C$7</f>
        <v>-27754.055943749998</v>
      </c>
      <c r="L7" s="237"/>
      <c r="M7" s="237">
        <f>-M6*$C$7</f>
        <v>-28447.907342343744</v>
      </c>
      <c r="N7" s="237"/>
      <c r="O7" s="237">
        <f>-O6*$C$7</f>
        <v>-29159.105025902332</v>
      </c>
      <c r="P7" s="237"/>
      <c r="Q7" s="237">
        <f>-Q6*$C$7</f>
        <v>-29888.082651549888</v>
      </c>
      <c r="R7" s="237"/>
      <c r="S7" s="237">
        <f>-S6*$C$7</f>
        <v>-30635.284717838629</v>
      </c>
      <c r="T7" s="237"/>
      <c r="U7" s="237">
        <f>-U6*$C$7</f>
        <v>-31401.166835784592</v>
      </c>
      <c r="V7" s="237"/>
      <c r="W7" s="237">
        <f>-W6*$C$7</f>
        <v>-32186.196006679205</v>
      </c>
      <c r="X7" s="237"/>
      <c r="Y7" s="237">
        <f>-Y6*$C$7</f>
        <v>-32990.850906846179</v>
      </c>
      <c r="Z7" s="237"/>
      <c r="AA7" s="237">
        <f>-AA6*$C$7</f>
        <v>-33815.622179517333</v>
      </c>
      <c r="AB7" s="237"/>
      <c r="AC7" s="237">
        <f>-AC6*$C$7</f>
        <v>-34661.012734005264</v>
      </c>
      <c r="AD7" s="237"/>
      <c r="AE7" s="237">
        <f>-AE6*$C$7</f>
        <v>-35527.538052355398</v>
      </c>
      <c r="AF7" s="237"/>
      <c r="AG7" s="237">
        <f>-AG6*$C$7</f>
        <v>-36415.726503664271</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1238484.6000000001</v>
      </c>
      <c r="G11" s="239">
        <f>SUM(G4:G10)</f>
        <v>1269446.7149999999</v>
      </c>
      <c r="I11" s="239">
        <f>SUM(I4:I10)</f>
        <v>1301182.8828749997</v>
      </c>
      <c r="K11" s="239">
        <f>SUM(K4:K10)</f>
        <v>1333712.4549468746</v>
      </c>
      <c r="M11" s="239">
        <f>SUM(M4:M10)</f>
        <v>1367055.2663205464</v>
      </c>
      <c r="O11" s="239">
        <f>SUM(O4:O10)</f>
        <v>1401231.6479785598</v>
      </c>
      <c r="Q11" s="239">
        <f>SUM(Q4:Q10)</f>
        <v>1436262.4391780235</v>
      </c>
      <c r="S11" s="239">
        <f>SUM(S4:S10)</f>
        <v>1472169.0001574741</v>
      </c>
      <c r="U11" s="239">
        <f>SUM(U4:U10)</f>
        <v>1508973.2251614106</v>
      </c>
      <c r="W11" s="239">
        <f>SUM(W4:W10)</f>
        <v>1546697.555790446</v>
      </c>
      <c r="Y11" s="239">
        <f>SUM(Y4:Y10)</f>
        <v>1585364.994685207</v>
      </c>
      <c r="AA11" s="239">
        <f>SUM(AA4:AA10)</f>
        <v>1624999.1195523369</v>
      </c>
      <c r="AC11" s="239">
        <f>SUM(AC4:AC10)</f>
        <v>1665624.0975411453</v>
      </c>
      <c r="AE11" s="239">
        <f>SUM(AE4:AE10)</f>
        <v>1707264.6999796736</v>
      </c>
      <c r="AG11" s="239">
        <f>SUM(AG4:AG10)</f>
        <v>1749946.3174791657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58021</v>
      </c>
      <c r="G15" s="235">
        <f>E15*$C$14</f>
        <v>60051.734999999993</v>
      </c>
      <c r="I15" s="235">
        <f>G15*$C$14</f>
        <v>62153.545724999989</v>
      </c>
      <c r="K15" s="235">
        <f>I15*$C$14</f>
        <v>64328.919825374986</v>
      </c>
      <c r="M15" s="235">
        <f>K15*$C$14</f>
        <v>66580.432019263098</v>
      </c>
      <c r="O15" s="235">
        <f>M15*$C$14</f>
        <v>68910.747139937303</v>
      </c>
      <c r="Q15" s="235">
        <f>O15*$C$14</f>
        <v>71322.623289835101</v>
      </c>
      <c r="S15" s="235">
        <f>Q15*$C$14</f>
        <v>73818.915104979329</v>
      </c>
      <c r="U15" s="235">
        <f>S15*$C$14</f>
        <v>76402.577133653598</v>
      </c>
      <c r="W15" s="235">
        <f>U15*$C$14</f>
        <v>79076.667333331468</v>
      </c>
      <c r="Y15" s="235">
        <f>W15*$C$14</f>
        <v>81844.350689998057</v>
      </c>
      <c r="AA15" s="235">
        <f>Y15*$C$14</f>
        <v>84708.902964147986</v>
      </c>
      <c r="AC15" s="235">
        <f>AA15*$C$14</f>
        <v>87673.714567893156</v>
      </c>
      <c r="AE15" s="235">
        <f>AC15*$C$14</f>
        <v>90742.294577769411</v>
      </c>
      <c r="AG15" s="235">
        <f>AE15*$C$14</f>
        <v>93918.274887991327</v>
      </c>
    </row>
    <row r="16" spans="1:34" s="225" customFormat="1" ht="14.25">
      <c r="A16" s="225" t="s">
        <v>345</v>
      </c>
      <c r="C16" s="249"/>
      <c r="E16" s="238">
        <f>Application!W849</f>
        <v>59400</v>
      </c>
      <c r="F16" s="238"/>
      <c r="G16" s="238">
        <f t="shared" ref="G16:AG21" si="0">E16*$C$14</f>
        <v>61478.999999999993</v>
      </c>
      <c r="H16" s="238"/>
      <c r="I16" s="238">
        <f t="shared" si="0"/>
        <v>63630.764999999985</v>
      </c>
      <c r="J16" s="238"/>
      <c r="K16" s="238">
        <f t="shared" si="0"/>
        <v>65857.841774999979</v>
      </c>
      <c r="L16" s="238"/>
      <c r="M16" s="238">
        <f t="shared" si="0"/>
        <v>68162.866237124967</v>
      </c>
      <c r="N16" s="238"/>
      <c r="O16" s="238">
        <f t="shared" si="0"/>
        <v>70548.566555424331</v>
      </c>
      <c r="P16" s="238"/>
      <c r="Q16" s="238">
        <f t="shared" si="0"/>
        <v>73017.766384864182</v>
      </c>
      <c r="R16" s="238"/>
      <c r="S16" s="238">
        <f t="shared" si="0"/>
        <v>75573.388208334422</v>
      </c>
      <c r="T16" s="238"/>
      <c r="U16" s="238">
        <f t="shared" si="0"/>
        <v>78218.456795626116</v>
      </c>
      <c r="V16" s="238"/>
      <c r="W16" s="238">
        <f t="shared" si="0"/>
        <v>80956.102783473019</v>
      </c>
      <c r="X16" s="238"/>
      <c r="Y16" s="238">
        <f t="shared" si="0"/>
        <v>83789.566380894568</v>
      </c>
      <c r="Z16" s="238"/>
      <c r="AA16" s="238">
        <f t="shared" si="0"/>
        <v>86722.201204225872</v>
      </c>
      <c r="AB16" s="238"/>
      <c r="AC16" s="238">
        <f t="shared" si="0"/>
        <v>89757.478246373765</v>
      </c>
      <c r="AD16" s="238"/>
      <c r="AE16" s="238">
        <f t="shared" si="0"/>
        <v>92898.989984996835</v>
      </c>
      <c r="AF16" s="238"/>
      <c r="AG16" s="238">
        <f t="shared" si="0"/>
        <v>96150.454634471724</v>
      </c>
    </row>
    <row r="17" spans="1:33" s="225" customFormat="1" ht="14.25">
      <c r="A17" s="225" t="s">
        <v>570</v>
      </c>
      <c r="C17" s="249"/>
      <c r="E17" s="238">
        <f>Application!W855</f>
        <v>91050</v>
      </c>
      <c r="F17" s="238"/>
      <c r="G17" s="238">
        <f t="shared" si="0"/>
        <v>94236.75</v>
      </c>
      <c r="H17" s="238"/>
      <c r="I17" s="238">
        <f t="shared" si="0"/>
        <v>97535.03624999999</v>
      </c>
      <c r="J17" s="238"/>
      <c r="K17" s="238">
        <f t="shared" si="0"/>
        <v>100948.76251874998</v>
      </c>
      <c r="L17" s="238"/>
      <c r="M17" s="238">
        <f t="shared" si="0"/>
        <v>104481.96920690621</v>
      </c>
      <c r="N17" s="238"/>
      <c r="O17" s="238">
        <f t="shared" si="0"/>
        <v>108138.83812914793</v>
      </c>
      <c r="P17" s="238"/>
      <c r="Q17" s="238">
        <f t="shared" si="0"/>
        <v>111923.6974636681</v>
      </c>
      <c r="R17" s="238"/>
      <c r="S17" s="238">
        <f t="shared" si="0"/>
        <v>115841.02687489647</v>
      </c>
      <c r="T17" s="238"/>
      <c r="U17" s="238">
        <f t="shared" si="0"/>
        <v>119895.46281551784</v>
      </c>
      <c r="V17" s="238"/>
      <c r="W17" s="238">
        <f t="shared" si="0"/>
        <v>124091.80401406095</v>
      </c>
      <c r="X17" s="238"/>
      <c r="Y17" s="238">
        <f t="shared" si="0"/>
        <v>128435.01715455308</v>
      </c>
      <c r="Z17" s="238"/>
      <c r="AA17" s="238">
        <f t="shared" si="0"/>
        <v>132930.24275496241</v>
      </c>
      <c r="AB17" s="238"/>
      <c r="AC17" s="238">
        <f t="shared" si="0"/>
        <v>137582.80125138609</v>
      </c>
      <c r="AD17" s="238"/>
      <c r="AE17" s="238">
        <f t="shared" si="0"/>
        <v>142398.1992951846</v>
      </c>
      <c r="AF17" s="238"/>
      <c r="AG17" s="238">
        <f t="shared" si="0"/>
        <v>147382.13627051606</v>
      </c>
    </row>
    <row r="18" spans="1:33" s="225" customFormat="1" ht="14.25">
      <c r="A18" s="225" t="s">
        <v>854</v>
      </c>
      <c r="C18" s="249"/>
      <c r="E18" s="238">
        <f>Application!W862</f>
        <v>190330.88800000001</v>
      </c>
      <c r="F18" s="238"/>
      <c r="G18" s="238">
        <f t="shared" si="0"/>
        <v>196992.46907999998</v>
      </c>
      <c r="H18" s="238"/>
      <c r="I18" s="238">
        <f t="shared" si="0"/>
        <v>203887.20549779997</v>
      </c>
      <c r="J18" s="238"/>
      <c r="K18" s="238">
        <f t="shared" si="0"/>
        <v>211023.25769022293</v>
      </c>
      <c r="L18" s="238"/>
      <c r="M18" s="238">
        <f t="shared" si="0"/>
        <v>218409.07170938072</v>
      </c>
      <c r="N18" s="238"/>
      <c r="O18" s="238">
        <f t="shared" si="0"/>
        <v>226053.38921920903</v>
      </c>
      <c r="P18" s="238"/>
      <c r="Q18" s="238">
        <f t="shared" si="0"/>
        <v>233965.25784188134</v>
      </c>
      <c r="R18" s="238"/>
      <c r="S18" s="238">
        <f t="shared" si="0"/>
        <v>242154.04186634716</v>
      </c>
      <c r="T18" s="238"/>
      <c r="U18" s="238">
        <f t="shared" si="0"/>
        <v>250629.43333166931</v>
      </c>
      <c r="V18" s="238"/>
      <c r="W18" s="238">
        <f t="shared" si="0"/>
        <v>259401.46349827771</v>
      </c>
      <c r="X18" s="238"/>
      <c r="Y18" s="238">
        <f t="shared" si="0"/>
        <v>268480.51472071739</v>
      </c>
      <c r="Z18" s="238"/>
      <c r="AA18" s="238">
        <f t="shared" si="0"/>
        <v>277877.3327359425</v>
      </c>
      <c r="AB18" s="238"/>
      <c r="AC18" s="238">
        <f t="shared" si="0"/>
        <v>287603.03938170045</v>
      </c>
      <c r="AD18" s="238"/>
      <c r="AE18" s="238">
        <f t="shared" si="0"/>
        <v>297669.14576005994</v>
      </c>
      <c r="AF18" s="238"/>
      <c r="AG18" s="238">
        <f t="shared" si="0"/>
        <v>308087.56586166203</v>
      </c>
    </row>
    <row r="19" spans="1:33" s="225" customFormat="1" ht="14.25">
      <c r="A19" s="225" t="s">
        <v>155</v>
      </c>
      <c r="C19" s="249"/>
      <c r="E19" s="238">
        <f>Application!W863</f>
        <v>122828</v>
      </c>
      <c r="F19" s="238"/>
      <c r="G19" s="238">
        <f t="shared" si="0"/>
        <v>127126.98</v>
      </c>
      <c r="H19" s="238"/>
      <c r="I19" s="238">
        <f t="shared" si="0"/>
        <v>131576.42429999998</v>
      </c>
      <c r="J19" s="238"/>
      <c r="K19" s="238">
        <f t="shared" si="0"/>
        <v>136181.59915049997</v>
      </c>
      <c r="L19" s="238"/>
      <c r="M19" s="238">
        <f t="shared" si="0"/>
        <v>140947.95512076747</v>
      </c>
      <c r="N19" s="238"/>
      <c r="O19" s="238">
        <f t="shared" si="0"/>
        <v>145881.13354999432</v>
      </c>
      <c r="P19" s="238"/>
      <c r="Q19" s="238">
        <f t="shared" si="0"/>
        <v>150986.97322424411</v>
      </c>
      <c r="R19" s="238"/>
      <c r="S19" s="238">
        <f t="shared" si="0"/>
        <v>156271.51728709263</v>
      </c>
      <c r="T19" s="238"/>
      <c r="U19" s="238">
        <f t="shared" si="0"/>
        <v>161741.02039214087</v>
      </c>
      <c r="V19" s="238"/>
      <c r="W19" s="238">
        <f t="shared" si="0"/>
        <v>167401.9561058658</v>
      </c>
      <c r="X19" s="238"/>
      <c r="Y19" s="238">
        <f t="shared" si="0"/>
        <v>173261.02456957108</v>
      </c>
      <c r="Z19" s="238"/>
      <c r="AA19" s="238">
        <f t="shared" si="0"/>
        <v>179325.16042950604</v>
      </c>
      <c r="AB19" s="238"/>
      <c r="AC19" s="238">
        <f t="shared" si="0"/>
        <v>185601.54104453872</v>
      </c>
      <c r="AD19" s="238"/>
      <c r="AE19" s="238">
        <f t="shared" si="0"/>
        <v>192097.59498109756</v>
      </c>
      <c r="AF19" s="238"/>
      <c r="AG19" s="238">
        <f t="shared" si="0"/>
        <v>198821.01080543594</v>
      </c>
    </row>
    <row r="20" spans="1:33" s="225" customFormat="1" ht="14.25">
      <c r="A20" s="225" t="s">
        <v>391</v>
      </c>
      <c r="C20" s="249"/>
      <c r="E20" s="238">
        <f>Application!W872</f>
        <v>126570</v>
      </c>
      <c r="F20" s="238"/>
      <c r="G20" s="238">
        <f t="shared" si="0"/>
        <v>130999.95</v>
      </c>
      <c r="H20" s="238"/>
      <c r="I20" s="238">
        <f t="shared" si="0"/>
        <v>135584.94824999999</v>
      </c>
      <c r="J20" s="238"/>
      <c r="K20" s="238">
        <f t="shared" si="0"/>
        <v>140330.42143874997</v>
      </c>
      <c r="L20" s="238"/>
      <c r="M20" s="238">
        <f t="shared" si="0"/>
        <v>145241.98618910622</v>
      </c>
      <c r="N20" s="238"/>
      <c r="O20" s="238">
        <f t="shared" si="0"/>
        <v>150325.45570572492</v>
      </c>
      <c r="P20" s="238"/>
      <c r="Q20" s="238">
        <f t="shared" si="0"/>
        <v>155586.84665542527</v>
      </c>
      <c r="R20" s="238"/>
      <c r="S20" s="238">
        <f t="shared" si="0"/>
        <v>161032.38628836515</v>
      </c>
      <c r="T20" s="238"/>
      <c r="U20" s="238">
        <f t="shared" si="0"/>
        <v>166668.5198084579</v>
      </c>
      <c r="V20" s="238"/>
      <c r="W20" s="238">
        <f t="shared" si="0"/>
        <v>172501.91800175392</v>
      </c>
      <c r="X20" s="238"/>
      <c r="Y20" s="238">
        <f t="shared" si="0"/>
        <v>178539.48513181528</v>
      </c>
      <c r="Z20" s="238"/>
      <c r="AA20" s="238">
        <f t="shared" si="0"/>
        <v>184788.36711142879</v>
      </c>
      <c r="AB20" s="238"/>
      <c r="AC20" s="238">
        <f t="shared" si="0"/>
        <v>191255.95996032879</v>
      </c>
      <c r="AD20" s="238"/>
      <c r="AE20" s="238">
        <f t="shared" si="0"/>
        <v>197949.91855894029</v>
      </c>
      <c r="AF20" s="238"/>
      <c r="AG20" s="238">
        <f t="shared" si="0"/>
        <v>204878.16570850319</v>
      </c>
    </row>
    <row r="21" spans="1:33" s="225" customFormat="1" ht="14.25">
      <c r="A21" s="242" t="s">
        <v>982</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855</v>
      </c>
      <c r="C22" s="249"/>
      <c r="E22" s="239">
        <f>SUM(E15:E21)</f>
        <v>648999.88800000004</v>
      </c>
      <c r="G22" s="239">
        <f>SUM(G15:G21)</f>
        <v>671714.88407999987</v>
      </c>
      <c r="I22" s="239">
        <f>SUM(I15:I21)</f>
        <v>695224.90502279985</v>
      </c>
      <c r="K22" s="239">
        <f>SUM(K15:K21)</f>
        <v>719557.77669859794</v>
      </c>
      <c r="M22" s="239">
        <f>SUM(M15:M21)</f>
        <v>744742.2988830487</v>
      </c>
      <c r="O22" s="239">
        <f>SUM(O15:O21)</f>
        <v>770808.27934395534</v>
      </c>
      <c r="Q22" s="239">
        <f>SUM(Q15:Q21)</f>
        <v>797786.56912099372</v>
      </c>
      <c r="S22" s="239">
        <f>SUM(S15:S21)</f>
        <v>825709.09904022841</v>
      </c>
      <c r="U22" s="239">
        <f>SUM(U15:U21)</f>
        <v>854608.91750663635</v>
      </c>
      <c r="W22" s="239">
        <f>SUM(W15:W21)</f>
        <v>884520.22961936856</v>
      </c>
      <c r="Y22" s="239">
        <f>SUM(Y15:Y21)</f>
        <v>915478.43765604624</v>
      </c>
      <c r="AA22" s="239">
        <f>SUM(AA15:AA21)</f>
        <v>947520.18297400803</v>
      </c>
      <c r="AC22" s="239">
        <f>SUM(AC15:AC21)</f>
        <v>980683.38937809796</v>
      </c>
      <c r="AE22" s="239">
        <f>SUM(AE15:AE21)</f>
        <v>1015007.3080063314</v>
      </c>
      <c r="AG22" s="239">
        <f>SUM(AG15:AG21)</f>
        <v>1050532.563786553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6000</v>
      </c>
      <c r="F30" s="238"/>
      <c r="G30" s="238">
        <f>E30*$C$30</f>
        <v>6120</v>
      </c>
      <c r="H30" s="238"/>
      <c r="I30" s="238">
        <f>G30*$C$30</f>
        <v>6242.4000000000005</v>
      </c>
      <c r="J30" s="238"/>
      <c r="K30" s="238">
        <f>I30*$C$30</f>
        <v>6367.2480000000005</v>
      </c>
      <c r="L30" s="238"/>
      <c r="M30" s="238">
        <f>K30*$C$30</f>
        <v>6494.5929600000009</v>
      </c>
      <c r="N30" s="238"/>
      <c r="O30" s="238">
        <f>M30*$C$30</f>
        <v>6624.4848192000009</v>
      </c>
      <c r="P30" s="238"/>
      <c r="Q30" s="238">
        <f>O30*$C$30</f>
        <v>6756.974515584001</v>
      </c>
      <c r="R30" s="238"/>
      <c r="S30" s="238">
        <f>Q30*$C$30</f>
        <v>6892.1140058956807</v>
      </c>
      <c r="T30" s="238"/>
      <c r="U30" s="238">
        <f>S30*$C$30</f>
        <v>7029.9562860135948</v>
      </c>
      <c r="V30" s="238"/>
      <c r="W30" s="238">
        <f>U30*$C$30</f>
        <v>7170.555411733867</v>
      </c>
      <c r="X30" s="238"/>
      <c r="Y30" s="238">
        <f>W30*$C$30</f>
        <v>7313.9665199685442</v>
      </c>
      <c r="Z30" s="238"/>
      <c r="AA30" s="238">
        <f>Y30*$C$30</f>
        <v>7460.2458503679154</v>
      </c>
      <c r="AB30" s="238"/>
      <c r="AC30" s="238">
        <f>AA30*$C$30</f>
        <v>7609.4507673752742</v>
      </c>
      <c r="AD30" s="238"/>
      <c r="AE30" s="238">
        <f>AC30*$C$30</f>
        <v>7761.6397827227802</v>
      </c>
      <c r="AF30" s="238"/>
      <c r="AG30" s="238">
        <f>AE30*$C$30</f>
        <v>7916.8725783772361</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annual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708999.88800000004</v>
      </c>
      <c r="G35" s="239">
        <f>SUM(G22:G33)</f>
        <v>731834.88407999987</v>
      </c>
      <c r="I35" s="239">
        <f>SUM(I22:I33)</f>
        <v>755467.30502279988</v>
      </c>
      <c r="K35" s="239">
        <f>SUM(K22:K33)</f>
        <v>779925.02469859796</v>
      </c>
      <c r="M35" s="239">
        <f>SUM(M22:M33)</f>
        <v>805236.89184304874</v>
      </c>
      <c r="O35" s="239">
        <f>SUM(O22:O33)</f>
        <v>831432.76416315534</v>
      </c>
      <c r="Q35" s="239">
        <f>SUM(Q22:Q33)</f>
        <v>858543.54363657767</v>
      </c>
      <c r="S35" s="239">
        <f>SUM(S22:S33)</f>
        <v>886601.21304612409</v>
      </c>
      <c r="U35" s="239">
        <f>SUM(U22:U33)</f>
        <v>915638.87379264995</v>
      </c>
      <c r="W35" s="239">
        <f>SUM(W22:W33)</f>
        <v>945690.78503110248</v>
      </c>
      <c r="Y35" s="239">
        <f>SUM(Y22:Y33)</f>
        <v>976792.40417601482</v>
      </c>
      <c r="AA35" s="239">
        <f>SUM(AA22:AA33)</f>
        <v>1008980.428824376</v>
      </c>
      <c r="AC35" s="239">
        <f>SUM(AC22:AC33)</f>
        <v>1042292.8401454733</v>
      </c>
      <c r="AE35" s="239">
        <f>SUM(AE22:AE33)</f>
        <v>1076768.9477890541</v>
      </c>
      <c r="AG35" s="239">
        <f>SUM(AG22:AG33)</f>
        <v>1112449.4363649301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529484.71200000006</v>
      </c>
      <c r="G37" s="239">
        <f>G11-G35</f>
        <v>537611.83091999998</v>
      </c>
      <c r="I37" s="239">
        <f>I11-I35</f>
        <v>545715.57785219979</v>
      </c>
      <c r="K37" s="239">
        <f>K11-K35</f>
        <v>553787.43024827668</v>
      </c>
      <c r="M37" s="239">
        <f>M11-M35</f>
        <v>561818.37447749765</v>
      </c>
      <c r="O37" s="239">
        <f>O11-O35</f>
        <v>569798.88381540449</v>
      </c>
      <c r="Q37" s="239">
        <f>Q11-Q35</f>
        <v>577718.89554144582</v>
      </c>
      <c r="S37" s="239">
        <f>S11-S35</f>
        <v>585567.78711134999</v>
      </c>
      <c r="U37" s="239">
        <f>U11-U35</f>
        <v>593334.35136876069</v>
      </c>
      <c r="W37" s="239">
        <f>W11-W35</f>
        <v>601006.77075934352</v>
      </c>
      <c r="Y37" s="239">
        <f>Y11-Y35</f>
        <v>608572.5905091922</v>
      </c>
      <c r="AA37" s="239">
        <f>AA11-AA35</f>
        <v>616018.6907279609</v>
      </c>
      <c r="AC37" s="239">
        <f>AC11-AC35</f>
        <v>623331.25739567203</v>
      </c>
      <c r="AE37" s="239">
        <f>AE11-AE35</f>
        <v>630495.75219061947</v>
      </c>
      <c r="AG37" s="239">
        <f>AG11-AG35</f>
        <v>637496.88111423561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Bank of America, N.A. </v>
      </c>
      <c r="B40" s="242"/>
      <c r="C40" s="236"/>
      <c r="E40" s="238">
        <f>Application!AF627</f>
        <v>352242.39726265601</v>
      </c>
      <c r="F40" s="238"/>
      <c r="G40" s="238">
        <f>$E$40</f>
        <v>352242.39726265601</v>
      </c>
      <c r="H40" s="238"/>
      <c r="I40" s="238">
        <f>$E$40</f>
        <v>352242.39726265601</v>
      </c>
      <c r="J40" s="238"/>
      <c r="K40" s="238">
        <f>$E$40</f>
        <v>352242.39726265601</v>
      </c>
      <c r="L40" s="238"/>
      <c r="M40" s="238">
        <f>$E$40</f>
        <v>352242.39726265601</v>
      </c>
      <c r="N40" s="238"/>
      <c r="O40" s="238">
        <f>$E$40</f>
        <v>352242.39726265601</v>
      </c>
      <c r="P40" s="238"/>
      <c r="Q40" s="238">
        <f>$E$40</f>
        <v>352242.39726265601</v>
      </c>
      <c r="R40" s="238"/>
      <c r="S40" s="238">
        <f>$E$40</f>
        <v>352242.39726265601</v>
      </c>
      <c r="T40" s="238"/>
      <c r="U40" s="238">
        <f>$E$40</f>
        <v>352242.39726265601</v>
      </c>
      <c r="V40" s="238"/>
      <c r="W40" s="238">
        <f>$E$40</f>
        <v>352242.39726265601</v>
      </c>
      <c r="X40" s="238"/>
      <c r="Y40" s="238">
        <f>$E$40</f>
        <v>352242.39726265601</v>
      </c>
      <c r="Z40" s="238"/>
      <c r="AA40" s="238">
        <f>$E$40</f>
        <v>352242.39726265601</v>
      </c>
      <c r="AB40" s="238"/>
      <c r="AC40" s="238">
        <f>$E$40</f>
        <v>352242.39726265601</v>
      </c>
      <c r="AD40" s="238"/>
      <c r="AE40" s="238">
        <f>$E$40</f>
        <v>352242.39726265601</v>
      </c>
      <c r="AF40" s="238"/>
      <c r="AG40" s="238">
        <f>$E$40</f>
        <v>352242.39726265601</v>
      </c>
    </row>
    <row r="41" spans="1:33" s="225" customFormat="1" ht="14.25">
      <c r="A41" s="241" t="s">
        <v>2788</v>
      </c>
      <c r="B41" s="242"/>
      <c r="C41" s="236"/>
      <c r="E41" s="238">
        <f>Application!AF628</f>
        <v>80398.289999999994</v>
      </c>
      <c r="F41" s="238"/>
      <c r="G41" s="238">
        <f>$E$41</f>
        <v>80398.289999999994</v>
      </c>
      <c r="H41" s="238"/>
      <c r="I41" s="238">
        <f>$E$41</f>
        <v>80398.289999999994</v>
      </c>
      <c r="J41" s="238"/>
      <c r="K41" s="238">
        <f>$E$41</f>
        <v>80398.289999999994</v>
      </c>
      <c r="L41" s="238"/>
      <c r="M41" s="238">
        <f>$E$41</f>
        <v>80398.289999999994</v>
      </c>
      <c r="N41" s="238"/>
      <c r="O41" s="238">
        <f>$E$41</f>
        <v>80398.289999999994</v>
      </c>
      <c r="P41" s="238"/>
      <c r="Q41" s="238">
        <f>$E$41</f>
        <v>80398.289999999994</v>
      </c>
      <c r="R41" s="238"/>
      <c r="S41" s="238">
        <f>$E$41</f>
        <v>80398.289999999994</v>
      </c>
      <c r="T41" s="238"/>
      <c r="U41" s="238">
        <f>$E$41</f>
        <v>80398.289999999994</v>
      </c>
      <c r="V41" s="238"/>
      <c r="W41" s="238">
        <f>$E$41</f>
        <v>80398.289999999994</v>
      </c>
      <c r="X41" s="238"/>
      <c r="Y41" s="238">
        <f>$E$41</f>
        <v>80398.289999999994</v>
      </c>
      <c r="Z41" s="238"/>
      <c r="AA41" s="238">
        <f>$E$41</f>
        <v>80398.289999999994</v>
      </c>
      <c r="AB41" s="238"/>
      <c r="AC41" s="238">
        <f>$E$41</f>
        <v>80398.289999999994</v>
      </c>
      <c r="AD41" s="238"/>
      <c r="AE41" s="238">
        <f>$E$41</f>
        <v>80398.289999999994</v>
      </c>
      <c r="AF41" s="238"/>
      <c r="AG41" s="238">
        <f>$E$41</f>
        <v>80398.289999999994</v>
      </c>
    </row>
    <row r="42" spans="1:33" s="225" customFormat="1" ht="14.25">
      <c r="A42" s="241" t="s">
        <v>2736</v>
      </c>
      <c r="B42" s="242"/>
      <c r="C42" s="236"/>
      <c r="E42" s="238">
        <f>Application!AF629</f>
        <v>27773.222399999999</v>
      </c>
      <c r="F42" s="238"/>
      <c r="G42" s="248">
        <f>$E$42</f>
        <v>27773.222399999999</v>
      </c>
      <c r="H42" s="238"/>
      <c r="I42" s="248">
        <f>$E$42</f>
        <v>27773.222399999999</v>
      </c>
      <c r="J42" s="238"/>
      <c r="K42" s="248">
        <f>$E$42</f>
        <v>27773.222399999999</v>
      </c>
      <c r="L42" s="238"/>
      <c r="M42" s="248">
        <f>$E$42</f>
        <v>27773.222399999999</v>
      </c>
      <c r="N42" s="238"/>
      <c r="O42" s="248">
        <f>$E$42</f>
        <v>27773.222399999999</v>
      </c>
      <c r="P42" s="238"/>
      <c r="Q42" s="248">
        <f>$E$42</f>
        <v>27773.222399999999</v>
      </c>
      <c r="R42" s="238"/>
      <c r="S42" s="248">
        <f>$E$42</f>
        <v>27773.222399999999</v>
      </c>
      <c r="T42" s="238"/>
      <c r="U42" s="248">
        <f>$E$42</f>
        <v>27773.222399999999</v>
      </c>
      <c r="V42" s="238"/>
      <c r="W42" s="248">
        <f>$E$42</f>
        <v>27773.222399999999</v>
      </c>
      <c r="X42" s="238"/>
      <c r="Y42" s="248">
        <f>$E$42</f>
        <v>27773.222399999999</v>
      </c>
      <c r="Z42" s="238"/>
      <c r="AA42" s="248">
        <f>$E$42</f>
        <v>27773.222399999999</v>
      </c>
      <c r="AB42" s="238"/>
      <c r="AC42" s="248">
        <f>$E$42</f>
        <v>27773.222399999999</v>
      </c>
      <c r="AD42" s="238"/>
      <c r="AE42" s="248">
        <f>$E$42</f>
        <v>27773.222399999999</v>
      </c>
      <c r="AF42" s="238"/>
      <c r="AG42" s="248">
        <f>$E$42</f>
        <v>27773.222399999999</v>
      </c>
    </row>
    <row r="43" spans="1:33" s="239" customFormat="1" ht="15">
      <c r="A43" s="239" t="s">
        <v>860</v>
      </c>
      <c r="C43" s="240"/>
      <c r="E43" s="239">
        <f>SUM(E40:E42)</f>
        <v>460413.90966265602</v>
      </c>
      <c r="G43" s="239">
        <f>SUM(G40:G42)</f>
        <v>460413.90966265602</v>
      </c>
      <c r="I43" s="239">
        <f>SUM(I40:I42)</f>
        <v>460413.90966265602</v>
      </c>
      <c r="K43" s="239">
        <f>SUM(K40:K42)</f>
        <v>460413.90966265602</v>
      </c>
      <c r="M43" s="239">
        <f>SUM(M40:M42)</f>
        <v>460413.90966265602</v>
      </c>
      <c r="O43" s="239">
        <f>SUM(O40:O42)</f>
        <v>460413.90966265602</v>
      </c>
      <c r="Q43" s="239">
        <f>SUM(Q40:Q42)</f>
        <v>460413.90966265602</v>
      </c>
      <c r="S43" s="239">
        <f>SUM(S40:S42)</f>
        <v>460413.90966265602</v>
      </c>
      <c r="U43" s="239">
        <f>SUM(U40:U42)</f>
        <v>460413.90966265602</v>
      </c>
      <c r="W43" s="239">
        <f>SUM(W40:W42)</f>
        <v>460413.90966265602</v>
      </c>
      <c r="Y43" s="239">
        <f>SUM(Y40:Y42)</f>
        <v>460413.90966265602</v>
      </c>
      <c r="AA43" s="239">
        <f>SUM(AA40:AA42)</f>
        <v>460413.90966265602</v>
      </c>
      <c r="AC43" s="239">
        <f>SUM(AC40:AC42)</f>
        <v>460413.90966265602</v>
      </c>
      <c r="AE43" s="239">
        <f>SUM(AE40:AE42)</f>
        <v>460413.90966265602</v>
      </c>
      <c r="AG43" s="239">
        <f>SUM(AG40:AG42)</f>
        <v>460413.90966265602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69070.802337344037</v>
      </c>
      <c r="G45" s="239">
        <f>G37-G43</f>
        <v>77197.921257343958</v>
      </c>
      <c r="I45" s="239">
        <f>I37-I43</f>
        <v>85301.668189543765</v>
      </c>
      <c r="K45" s="239">
        <f>K37-K43</f>
        <v>93373.520585620659</v>
      </c>
      <c r="M45" s="239">
        <f>M37-M43</f>
        <v>101404.46481484163</v>
      </c>
      <c r="O45" s="239">
        <f>O37-O43</f>
        <v>109384.97415274847</v>
      </c>
      <c r="Q45" s="239">
        <f>Q37-Q43</f>
        <v>117304.9858787898</v>
      </c>
      <c r="S45" s="239">
        <f>S37-S43</f>
        <v>125153.87744869397</v>
      </c>
      <c r="U45" s="239">
        <f>U37-U43</f>
        <v>132920.44170610467</v>
      </c>
      <c r="W45" s="239">
        <f>W37-W43</f>
        <v>140592.8610966875</v>
      </c>
      <c r="Y45" s="239">
        <f>Y37-Y43</f>
        <v>148158.68084653618</v>
      </c>
      <c r="AA45" s="239">
        <f>AA37-AA43</f>
        <v>155604.78106530488</v>
      </c>
      <c r="AC45" s="239">
        <f>AC37-AC43</f>
        <v>162917.34773301601</v>
      </c>
      <c r="AE45" s="239">
        <f>AE37-AE43</f>
        <v>170081.84252796345</v>
      </c>
      <c r="AG45" s="239">
        <f>AG37-AG43</f>
        <v>177082.97145157959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5.2981895956136102E-2</v>
      </c>
      <c r="G47" s="243">
        <f>G45/(G4+G6+G8)</f>
        <v>5.7771645180457042E-2</v>
      </c>
      <c r="I47" s="243">
        <f>I45/(I4+I6+I8)</f>
        <v>6.2279166016243608E-2</v>
      </c>
      <c r="K47" s="243">
        <f>K45/(K4+K6+K8)</f>
        <v>6.6509721962424773E-2</v>
      </c>
      <c r="M47" s="243">
        <f>M45/(M4+M6+M8)</f>
        <v>7.0468432365126607E-2</v>
      </c>
      <c r="O47" s="243">
        <f>O45/(O4+O6+O8)</f>
        <v>7.4160275779541249E-2</v>
      </c>
      <c r="Q47" s="243">
        <f>Q45/(Q4+Q6+Q8)</f>
        <v>7.7590093248297659E-2</v>
      </c>
      <c r="S47" s="243">
        <f>S45/(S4+S6+S8)</f>
        <v>8.076259149835463E-2</v>
      </c>
      <c r="U47" s="243">
        <f>U45/(U4+U6+U8)</f>
        <v>8.3682346058388271E-2</v>
      </c>
      <c r="W47" s="243">
        <f>W45/(W4+W6+W8)</f>
        <v>8.6353804298601289E-2</v>
      </c>
      <c r="Y47" s="243">
        <f>Y45/(Y4+Y6+Y8)</f>
        <v>8.8781288394826144E-2</v>
      </c>
      <c r="AA47" s="243">
        <f>AA45/(AA4+AA6+AA8)</f>
        <v>9.0968998218757854E-2</v>
      </c>
      <c r="AC47" s="243">
        <f>AC45/(AC4+AC6+AC8)</f>
        <v>9.2921014156101905E-2</v>
      </c>
      <c r="AE47" s="243">
        <f>AE45/(AE4+AE6+AE8)</f>
        <v>9.4641299854374653E-2</v>
      </c>
      <c r="AG47" s="243">
        <f>AG45/(AG4+AG6+AG8)</f>
        <v>9.6133704902066811E-2</v>
      </c>
    </row>
    <row r="48" spans="1:33" s="243" customFormat="1" ht="14.25">
      <c r="A48" s="243" t="s">
        <v>864</v>
      </c>
      <c r="C48" s="236"/>
      <c r="E48" s="243">
        <f>E45/E43</f>
        <v>0.15001893054871435</v>
      </c>
      <c r="G48" s="243">
        <f>G45/G43</f>
        <v>0.16767069725132036</v>
      </c>
      <c r="I48" s="243">
        <f>I45/I43</f>
        <v>0.18527170096151974</v>
      </c>
      <c r="K48" s="243">
        <f>K45/K43</f>
        <v>0.20280343105627538</v>
      </c>
      <c r="M48" s="243">
        <f>M45/M43</f>
        <v>0.22024631030183339</v>
      </c>
      <c r="O48" s="243">
        <f>O45/O43</f>
        <v>0.23757964704605589</v>
      </c>
      <c r="Q48" s="243">
        <f>Q45/Q43</f>
        <v>0.25478158547542323</v>
      </c>
      <c r="S48" s="243">
        <f>S45/S43</f>
        <v>0.27182905386241235</v>
      </c>
      <c r="U48" s="243">
        <f>U45/U43</f>
        <v>0.28869771072619221</v>
      </c>
      <c r="W48" s="243">
        <f>W45/W43</f>
        <v>0.30536188882672877</v>
      </c>
      <c r="Y48" s="243">
        <f>Y45/Y43</f>
        <v>0.32179453690939014</v>
      </c>
      <c r="AA48" s="243">
        <f>AA45/AA43</f>
        <v>0.33796715911410252</v>
      </c>
      <c r="AC48" s="243">
        <f>AC45/AC43</f>
        <v>0.35384975195989427</v>
      </c>
      <c r="AE48" s="243">
        <f>AE45/AE43</f>
        <v>0.36941073881234809</v>
      </c>
      <c r="AG48" s="243">
        <f>AG45/AG43</f>
        <v>0.38461690173810731</v>
      </c>
    </row>
    <row r="49" spans="1:35" s="244" customFormat="1" ht="14.25">
      <c r="A49" s="244" t="s">
        <v>862</v>
      </c>
      <c r="C49" s="245"/>
      <c r="E49" s="244">
        <f>E37/E43</f>
        <v>1.1500189305487143</v>
      </c>
      <c r="G49" s="244">
        <f>G37/G43</f>
        <v>1.1676706972513204</v>
      </c>
      <c r="I49" s="244">
        <f>I37/I43</f>
        <v>1.1852717009615197</v>
      </c>
      <c r="K49" s="244">
        <f>K37/K43</f>
        <v>1.2028034310562754</v>
      </c>
      <c r="M49" s="244">
        <f>M37/M43</f>
        <v>1.2202463103018335</v>
      </c>
      <c r="O49" s="244">
        <f>O37/O43</f>
        <v>1.2375796470460558</v>
      </c>
      <c r="Q49" s="244">
        <f>Q37/Q43</f>
        <v>1.2547815854754232</v>
      </c>
      <c r="S49" s="244">
        <f>S37/S43</f>
        <v>1.2718290538624124</v>
      </c>
      <c r="U49" s="244">
        <f>U37/U43</f>
        <v>1.2886977107261923</v>
      </c>
      <c r="W49" s="244">
        <f>W37/W43</f>
        <v>1.3053618888267287</v>
      </c>
      <c r="Y49" s="244">
        <f>Y37/Y43</f>
        <v>1.3217945369093902</v>
      </c>
      <c r="AA49" s="244">
        <f>AA37/AA43</f>
        <v>1.3379671591141025</v>
      </c>
      <c r="AC49" s="244">
        <f>AC37/AC43</f>
        <v>1.3538497519598942</v>
      </c>
      <c r="AE49" s="244">
        <f>AE37/AE43</f>
        <v>1.3694107388123482</v>
      </c>
      <c r="AG49" s="244">
        <f>AG37/AG43</f>
        <v>1.3846169017381074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69070.802337344037</v>
      </c>
      <c r="G60" s="997">
        <f>G45-G58</f>
        <v>77197.921257343958</v>
      </c>
      <c r="I60" s="997">
        <f>I45-I58</f>
        <v>85301.668189543765</v>
      </c>
      <c r="K60" s="997">
        <f>K45-K58</f>
        <v>93373.520585620659</v>
      </c>
      <c r="M60" s="997">
        <f>M45-M58</f>
        <v>101404.46481484163</v>
      </c>
      <c r="O60" s="997">
        <f>O45-O58</f>
        <v>109384.97415274847</v>
      </c>
      <c r="Q60" s="997">
        <f>Q45-Q58</f>
        <v>117304.9858787898</v>
      </c>
      <c r="S60" s="997">
        <f>S45-S58</f>
        <v>125153.87744869397</v>
      </c>
      <c r="U60" s="997">
        <f>U45-U58</f>
        <v>132920.44170610467</v>
      </c>
      <c r="W60" s="997">
        <f>W45-W58</f>
        <v>140592.8610966875</v>
      </c>
      <c r="Y60" s="997">
        <f>Y45-Y58</f>
        <v>148158.68084653618</v>
      </c>
      <c r="AA60" s="997">
        <f>AA45-AA58</f>
        <v>155604.78106530488</v>
      </c>
      <c r="AC60" s="997">
        <f>AC45-AC58</f>
        <v>162917.34773301601</v>
      </c>
      <c r="AE60" s="997">
        <f>AE45-AE58</f>
        <v>170081.84252796345</v>
      </c>
      <c r="AG60" s="997">
        <f>AG45-AG58</f>
        <v>177082.97145157959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34535.401168672019</v>
      </c>
      <c r="G62" s="997">
        <f>G60*$C$62</f>
        <v>38598.960628671979</v>
      </c>
      <c r="I62" s="997">
        <f>I60*$C$62</f>
        <v>42650.834094771883</v>
      </c>
      <c r="K62" s="997">
        <f>K60*$C$62</f>
        <v>46686.76029281033</v>
      </c>
      <c r="M62" s="997">
        <f>M60*$C$62</f>
        <v>50702.232407420815</v>
      </c>
      <c r="O62" s="997">
        <f>O60*$C$62</f>
        <v>54692.487076374236</v>
      </c>
      <c r="Q62" s="997">
        <f>Q60*$C$62</f>
        <v>58652.492939394899</v>
      </c>
      <c r="S62" s="997">
        <f>S60*$C$62</f>
        <v>62576.938724346983</v>
      </c>
      <c r="U62" s="997">
        <f>U60*$C$62</f>
        <v>66460.220853052335</v>
      </c>
      <c r="W62" s="997">
        <f>W60*$C$62</f>
        <v>70296.430548343749</v>
      </c>
      <c r="Y62" s="997">
        <f>Y60*$C$62</f>
        <v>74079.340423268091</v>
      </c>
      <c r="AA62" s="997">
        <f>AA60*$C$62</f>
        <v>77802.39053265244</v>
      </c>
      <c r="AC62" s="997">
        <f>AC60*$C$62</f>
        <v>81458.673866508005</v>
      </c>
      <c r="AE62" s="997">
        <f>AE60*$C$62</f>
        <v>85040.921263981727</v>
      </c>
      <c r="AG62" s="997">
        <f>AG60*$C$62</f>
        <v>88541.485725789797</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17267.700584336009</v>
      </c>
      <c r="G66" s="995">
        <f>G60*$C$65</f>
        <v>19299.48031433599</v>
      </c>
      <c r="I66" s="995">
        <f>I60*$C$65</f>
        <v>21325.417047385941</v>
      </c>
      <c r="K66" s="995">
        <f>K60*$C$65</f>
        <v>23343.380146405165</v>
      </c>
      <c r="M66" s="995">
        <f>M60*$C$65</f>
        <v>25351.116203710408</v>
      </c>
      <c r="O66" s="995">
        <f>O60*$C$65</f>
        <v>27346.243538187118</v>
      </c>
      <c r="Q66" s="995">
        <f>Q60*$C$65</f>
        <v>29326.246469697449</v>
      </c>
      <c r="S66" s="995">
        <f>S60*$C$65</f>
        <v>31288.469362173491</v>
      </c>
      <c r="U66" s="995">
        <f>U60*$C$65</f>
        <v>33230.110426526167</v>
      </c>
      <c r="W66" s="995">
        <f>W60*$C$65</f>
        <v>35148.215274171875</v>
      </c>
      <c r="Y66" s="995">
        <f>Y60*$C$65</f>
        <v>37039.670211634046</v>
      </c>
      <c r="AA66" s="995">
        <f>AA60*$C$65</f>
        <v>38901.19526632622</v>
      </c>
      <c r="AC66" s="995">
        <f>AC60*$C$65</f>
        <v>40729.336933254002</v>
      </c>
      <c r="AE66" s="995">
        <f>AE60*$C$65</f>
        <v>42520.460631990863</v>
      </c>
      <c r="AG66" s="995">
        <f>AG60*$C$65</f>
        <v>44270.742862894898</v>
      </c>
    </row>
    <row r="67" spans="1:35" s="995" customFormat="1">
      <c r="A67" s="1000"/>
      <c r="B67" s="1000"/>
      <c r="C67" s="1005"/>
      <c r="E67" s="999">
        <f>$E60*$C$65</f>
        <v>17267.700584336009</v>
      </c>
      <c r="G67" s="995">
        <f>G60*$C$65</f>
        <v>19299.48031433599</v>
      </c>
      <c r="I67" s="995">
        <f>I60*$C$65</f>
        <v>21325.417047385941</v>
      </c>
      <c r="K67" s="995">
        <f>K60*$C$65</f>
        <v>23343.380146405165</v>
      </c>
      <c r="M67" s="995">
        <f>M60*$C$65</f>
        <v>25351.116203710408</v>
      </c>
      <c r="O67" s="995">
        <f>O60*$C$65</f>
        <v>27346.243538187118</v>
      </c>
      <c r="Q67" s="995">
        <f>Q60*$C$65</f>
        <v>29326.246469697449</v>
      </c>
      <c r="S67" s="995">
        <f>S60*$C$65</f>
        <v>31288.469362173491</v>
      </c>
      <c r="U67" s="995">
        <f>U60*$C$65</f>
        <v>33230.110426526167</v>
      </c>
      <c r="W67" s="995">
        <f>W60*$C$65</f>
        <v>35148.215274171875</v>
      </c>
      <c r="Y67" s="995">
        <f>Y60*$C$65</f>
        <v>37039.670211634046</v>
      </c>
      <c r="AA67" s="995">
        <f>AA60*$C$65</f>
        <v>38901.19526632622</v>
      </c>
      <c r="AC67" s="995">
        <f>AC60*$C$65</f>
        <v>40729.336933254002</v>
      </c>
      <c r="AE67" s="995">
        <f>AE60*$C$65</f>
        <v>42520.460631990863</v>
      </c>
      <c r="AG67" s="995">
        <f>AG60*$C$65</f>
        <v>44270.742862894898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34535.401168672019</v>
      </c>
      <c r="G70" s="995">
        <f>SUM(G66:G69)</f>
        <v>38598.960628671979</v>
      </c>
      <c r="I70" s="995">
        <f>SUM(I66:I69)</f>
        <v>42650.834094771883</v>
      </c>
      <c r="K70" s="995">
        <f>SUM(K66:K69)</f>
        <v>46686.76029281033</v>
      </c>
      <c r="M70" s="995">
        <f>SUM(M66:M69)</f>
        <v>50702.232407420815</v>
      </c>
      <c r="O70" s="995">
        <f>SUM(O66:O69)</f>
        <v>54692.487076374236</v>
      </c>
      <c r="Q70" s="995">
        <f>SUM(Q66:Q69)</f>
        <v>58652.492939394899</v>
      </c>
      <c r="S70" s="995">
        <f>SUM(S66:S69)</f>
        <v>62576.938724346983</v>
      </c>
      <c r="U70" s="995">
        <f>SUM(U66:U69)</f>
        <v>66460.220853052335</v>
      </c>
      <c r="W70" s="995">
        <f>SUM(W66:W69)</f>
        <v>70296.430548343749</v>
      </c>
      <c r="Y70" s="995">
        <f>SUM(Y66:Y69)</f>
        <v>74079.340423268091</v>
      </c>
      <c r="AA70" s="995">
        <f>SUM(AA66:AA69)</f>
        <v>77802.39053265244</v>
      </c>
      <c r="AC70" s="995">
        <f>SUM(AC66:AC69)</f>
        <v>81458.673866508005</v>
      </c>
      <c r="AE70" s="995">
        <f>SUM(AE66:AE69)</f>
        <v>85040.921263981727</v>
      </c>
      <c r="AG70" s="995">
        <f>SUM(AG66:AG69)</f>
        <v>88541.485725789797</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2100000</v>
      </c>
      <c r="C5" s="286">
        <f>'Sources and Uses Budget'!$C4</f>
        <v>2100000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45000</v>
      </c>
      <c r="C7" s="286">
        <f>'Sources and Uses Budget'!$C6</f>
        <v>45000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2145000</v>
      </c>
      <c r="C9" s="290">
        <f>SUM(C5:C8)</f>
        <v>2145000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47200</v>
      </c>
      <c r="C11" s="286">
        <f>'Sources and Uses Budget'!$C10</f>
        <v>47200</v>
      </c>
      <c r="D11" s="290">
        <f t="shared" si="0"/>
        <v>0</v>
      </c>
      <c r="E11" s="288"/>
      <c r="F11" s="287"/>
      <c r="G11" s="383"/>
    </row>
    <row r="12" spans="1:7" s="380" customFormat="1">
      <c r="A12" s="396" t="s">
        <v>605</v>
      </c>
      <c r="B12" s="290">
        <f>SUM(B10:B11)</f>
        <v>47200</v>
      </c>
      <c r="C12" s="290">
        <f>SUM(C10:C11)</f>
        <v>47200</v>
      </c>
      <c r="D12" s="290">
        <f t="shared" si="0"/>
        <v>0</v>
      </c>
      <c r="E12" s="288"/>
      <c r="F12" s="287"/>
      <c r="G12" s="383"/>
    </row>
    <row r="13" spans="1:7" s="380" customFormat="1">
      <c r="A13" s="396" t="s">
        <v>84</v>
      </c>
      <c r="B13" s="290">
        <f>SUM(B9+B12)</f>
        <v>2192200</v>
      </c>
      <c r="C13" s="290">
        <f>SUM(C9+C12)</f>
        <v>2192200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5780995</v>
      </c>
      <c r="C30" s="286">
        <f>'Sources and Uses Budget'!$C29</f>
        <v>5780995</v>
      </c>
      <c r="D30" s="290">
        <f t="shared" si="0"/>
        <v>0</v>
      </c>
      <c r="E30" s="288"/>
      <c r="F30" s="287"/>
      <c r="G30" s="383"/>
    </row>
    <row r="31" spans="1:7" s="380" customFormat="1">
      <c r="A31" s="145" t="s">
        <v>608</v>
      </c>
      <c r="B31" s="286">
        <f ca="1">'Sources and Uses Budget'!$C30</f>
        <v>32228460</v>
      </c>
      <c r="C31" s="286">
        <f ca="1">'Sources and Uses Budget'!$C30</f>
        <v>32228460</v>
      </c>
      <c r="D31" s="290">
        <f t="shared" ca="1" si="0"/>
        <v>0</v>
      </c>
      <c r="E31" s="288"/>
      <c r="F31" s="287"/>
      <c r="G31" s="383"/>
    </row>
    <row r="32" spans="1:7" s="380" customFormat="1">
      <c r="A32" s="145" t="s">
        <v>609</v>
      </c>
      <c r="B32" s="286">
        <f>'Sources and Uses Budget'!$C31</f>
        <v>2051320</v>
      </c>
      <c r="C32" s="286">
        <f>'Sources and Uses Budget'!$C31</f>
        <v>2051320</v>
      </c>
      <c r="D32" s="290">
        <f t="shared" si="0"/>
        <v>0</v>
      </c>
      <c r="E32" s="288"/>
      <c r="F32" s="287"/>
      <c r="G32" s="383"/>
    </row>
    <row r="33" spans="1:7" s="380" customFormat="1">
      <c r="A33" s="145" t="s">
        <v>137</v>
      </c>
      <c r="B33" s="286">
        <f>'Sources and Uses Budget'!$C32</f>
        <v>949811</v>
      </c>
      <c r="C33" s="286">
        <f>'Sources and Uses Budget'!$C32</f>
        <v>949811</v>
      </c>
      <c r="D33" s="290">
        <f t="shared" si="0"/>
        <v>0</v>
      </c>
      <c r="E33" s="288"/>
      <c r="F33" s="287"/>
      <c r="G33" s="383"/>
    </row>
    <row r="34" spans="1:7" s="380" customFormat="1">
      <c r="A34" s="145" t="s">
        <v>138</v>
      </c>
      <c r="B34" s="286">
        <f>'Sources and Uses Budget'!$C33</f>
        <v>2394000</v>
      </c>
      <c r="C34" s="286">
        <f>'Sources and Uses Budget'!$C33</f>
        <v>2394000</v>
      </c>
      <c r="D34" s="290">
        <f t="shared" si="0"/>
        <v>0</v>
      </c>
      <c r="E34" s="288"/>
      <c r="F34" s="287"/>
      <c r="G34" s="383"/>
    </row>
    <row r="35" spans="1:7" s="380" customFormat="1">
      <c r="A35" s="145" t="s">
        <v>139</v>
      </c>
      <c r="B35" s="286">
        <f ca="1">'Sources and Uses Budget'!$C34</f>
        <v>7601891</v>
      </c>
      <c r="C35" s="286">
        <f ca="1">'Sources and Uses Budget'!$C34</f>
        <v>7601891</v>
      </c>
      <c r="D35" s="290">
        <f t="shared" ca="1" si="0"/>
        <v>0</v>
      </c>
      <c r="E35" s="288"/>
      <c r="F35" s="287"/>
      <c r="G35" s="383"/>
    </row>
    <row r="36" spans="1:7" s="380" customFormat="1">
      <c r="A36" s="145" t="s">
        <v>140</v>
      </c>
      <c r="B36" s="286">
        <f>'Sources and Uses Budget'!$C35</f>
        <v>466000</v>
      </c>
      <c r="C36" s="286">
        <f>'Sources and Uses Budget'!$C35</f>
        <v>466000</v>
      </c>
      <c r="D36" s="290">
        <f t="shared" si="0"/>
        <v>0</v>
      </c>
      <c r="E36" s="288"/>
      <c r="F36" s="287"/>
      <c r="G36" s="383"/>
    </row>
    <row r="37" spans="1:7" s="380" customFormat="1">
      <c r="A37" s="304" t="s">
        <v>1754</v>
      </c>
      <c r="B37" s="286">
        <f>'Sources and Uses Budget'!$C36</f>
        <v>150000</v>
      </c>
      <c r="C37" s="286">
        <f>'Sources and Uses Budget'!$C36</f>
        <v>150000</v>
      </c>
      <c r="D37" s="290"/>
      <c r="E37" s="288"/>
      <c r="F37" s="287"/>
      <c r="G37" s="383"/>
    </row>
    <row r="38" spans="1:7" s="380" customFormat="1">
      <c r="A38" s="155" t="str">
        <f>'Sources and Uses Budget'!A37</f>
        <v>pv system</v>
      </c>
      <c r="B38" s="286">
        <f>'Sources and Uses Budget'!$C37</f>
        <v>782254</v>
      </c>
      <c r="C38" s="286">
        <f>'Sources and Uses Budget'!$C37</f>
        <v>782254</v>
      </c>
      <c r="D38" s="290">
        <f t="shared" si="0"/>
        <v>0</v>
      </c>
      <c r="E38" s="288"/>
      <c r="F38" s="287"/>
      <c r="G38" s="383"/>
    </row>
    <row r="39" spans="1:7" s="380" customFormat="1">
      <c r="A39" s="291" t="s">
        <v>143</v>
      </c>
      <c r="B39" s="290">
        <f ca="1">SUM(B30:B38)</f>
        <v>52404731</v>
      </c>
      <c r="C39" s="290">
        <f ca="1">SUM(C30:C38)</f>
        <v>52404731</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723000</v>
      </c>
      <c r="C41" s="286">
        <f>'Sources and Uses Budget'!$C40</f>
        <v>723000</v>
      </c>
      <c r="D41" s="290">
        <f t="shared" si="0"/>
        <v>0</v>
      </c>
      <c r="E41" s="288"/>
      <c r="F41" s="287"/>
      <c r="G41" s="383"/>
    </row>
    <row r="42" spans="1:7" s="380" customFormat="1">
      <c r="A42" s="289" t="s">
        <v>146</v>
      </c>
      <c r="B42" s="286">
        <f>'Sources and Uses Budget'!$C41</f>
        <v>270000</v>
      </c>
      <c r="C42" s="286">
        <f>'Sources and Uses Budget'!$C41</f>
        <v>270000</v>
      </c>
      <c r="D42" s="290">
        <f t="shared" si="0"/>
        <v>0</v>
      </c>
      <c r="E42" s="288"/>
      <c r="F42" s="287"/>
      <c r="G42" s="383"/>
    </row>
    <row r="43" spans="1:7" s="380" customFormat="1">
      <c r="A43" s="291" t="s">
        <v>147</v>
      </c>
      <c r="B43" s="290">
        <f>SUM(B41:B42)</f>
        <v>993000</v>
      </c>
      <c r="C43" s="290">
        <f>SUM(C41:C42)</f>
        <v>993000</v>
      </c>
      <c r="D43" s="290">
        <f t="shared" si="0"/>
        <v>0</v>
      </c>
      <c r="E43" s="288"/>
      <c r="F43" s="287"/>
      <c r="G43" s="383"/>
    </row>
    <row r="44" spans="1:7" s="380" customFormat="1">
      <c r="A44" s="291" t="s">
        <v>148</v>
      </c>
      <c r="B44" s="286">
        <f>'Sources and Uses Budget'!$C43</f>
        <v>505000</v>
      </c>
      <c r="C44" s="286">
        <f>'Sources and Uses Budget'!$C43</f>
        <v>505000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6497169.1280686092</v>
      </c>
      <c r="C46" s="286">
        <f>'Sources and Uses Budget'!$C45</f>
        <v>6497169.1280686092</v>
      </c>
      <c r="D46" s="290">
        <f t="shared" si="0"/>
        <v>0</v>
      </c>
      <c r="E46" s="288"/>
      <c r="F46" s="287"/>
      <c r="G46" s="383"/>
    </row>
    <row r="47" spans="1:7" s="380" customFormat="1">
      <c r="A47" s="145" t="s">
        <v>151</v>
      </c>
      <c r="B47" s="286">
        <f>'Sources and Uses Budget'!$C46</f>
        <v>486401.28263561428</v>
      </c>
      <c r="C47" s="286">
        <f>'Sources and Uses Budget'!$C46</f>
        <v>486401.28263561428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197674.44979689154</v>
      </c>
      <c r="C50" s="286">
        <f>'Sources and Uses Budget'!$C49</f>
        <v>197674.44979689154</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579587</v>
      </c>
      <c r="C53" s="286">
        <f>'Sources and Uses Budget'!$C52</f>
        <v>579587</v>
      </c>
      <c r="D53" s="290">
        <f t="shared" si="0"/>
        <v>0</v>
      </c>
      <c r="E53" s="288"/>
      <c r="F53" s="287"/>
      <c r="G53" s="383"/>
    </row>
    <row r="54" spans="1:7" s="380" customFormat="1">
      <c r="A54" s="155" t="str">
        <f>'Sources and Uses Budget'!A53</f>
        <v>predev loan costs</v>
      </c>
      <c r="B54" s="286">
        <f>'Sources and Uses Budget'!$C53</f>
        <v>180000</v>
      </c>
      <c r="C54" s="286">
        <f>'Sources and Uses Budget'!$C53</f>
        <v>180000</v>
      </c>
      <c r="D54" s="290">
        <f t="shared" si="0"/>
        <v>0</v>
      </c>
      <c r="E54" s="288"/>
      <c r="F54" s="287"/>
      <c r="G54" s="383"/>
    </row>
    <row r="55" spans="1:7" s="381" customFormat="1">
      <c r="A55" s="291" t="s">
        <v>157</v>
      </c>
      <c r="B55" s="293">
        <f>SUM(B46:B54)</f>
        <v>8030831.8605011152</v>
      </c>
      <c r="C55" s="293">
        <f>SUM(C46:C54)</f>
        <v>8030831.8605011152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55947</v>
      </c>
      <c r="C57" s="286">
        <f>'Sources and Uses Budget'!$C56</f>
        <v>55947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loan legal</v>
      </c>
      <c r="B62" s="286">
        <f>'Sources and Uses Budget'!$C61</f>
        <v>20000</v>
      </c>
      <c r="C62" s="286">
        <f>'Sources and Uses Budget'!$C61</f>
        <v>20000</v>
      </c>
      <c r="D62" s="290">
        <f t="shared" si="0"/>
        <v>0</v>
      </c>
      <c r="E62" s="288"/>
      <c r="F62" s="287"/>
      <c r="G62" s="383"/>
    </row>
    <row r="63" spans="1:7" s="380" customFormat="1" ht="13.7" customHeight="1">
      <c r="A63" s="291" t="s">
        <v>302</v>
      </c>
      <c r="B63" s="290">
        <f>SUM(B57:B62)</f>
        <v>95947</v>
      </c>
      <c r="C63" s="290">
        <f>SUM(C57:C62)</f>
        <v>95947</v>
      </c>
      <c r="D63" s="290">
        <f t="shared" si="0"/>
        <v>0</v>
      </c>
      <c r="E63" s="288"/>
      <c r="F63" s="287"/>
      <c r="G63" s="383"/>
    </row>
    <row r="64" spans="1:7" s="380" customFormat="1">
      <c r="A64" s="294" t="s">
        <v>303</v>
      </c>
      <c r="B64" s="290">
        <f ca="1">SUM(B9+B12+B14+B15+B17+B26+B28+B39+B43+B44+B55+B63)</f>
        <v>64221709.860501118</v>
      </c>
      <c r="C64" s="290">
        <f ca="1">SUM(C9+C12+C14+C15+C17+C26+C28+C39+C43+C44+C55+C63)</f>
        <v>64221709.860501118</v>
      </c>
      <c r="D64" s="290">
        <f t="shared" ca="1"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80000</v>
      </c>
      <c r="C70" s="286">
        <f>'Sources and Uses Budget'!$C69</f>
        <v>80000</v>
      </c>
      <c r="D70" s="290">
        <f t="shared" si="0"/>
        <v>0</v>
      </c>
      <c r="E70" s="288"/>
      <c r="F70" s="287"/>
      <c r="G70" s="383"/>
    </row>
    <row r="71" spans="1:7" s="380" customFormat="1">
      <c r="A71" s="149" t="s">
        <v>1759</v>
      </c>
      <c r="B71" s="290">
        <f>SUM(B66:B70)</f>
        <v>140000</v>
      </c>
      <c r="C71" s="290">
        <f>SUM(C66:C70)</f>
        <v>140000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582706.89883132791</v>
      </c>
      <c r="C76" s="286">
        <f>'Sources and Uses Budget'!$C75</f>
        <v>582706.89883132791</v>
      </c>
      <c r="D76" s="290">
        <f t="shared" si="0"/>
        <v>0</v>
      </c>
      <c r="E76" s="288"/>
      <c r="F76" s="287"/>
      <c r="G76" s="383"/>
    </row>
    <row r="77" spans="1:7" s="380" customFormat="1">
      <c r="A77" s="292" t="s">
        <v>34</v>
      </c>
      <c r="B77" s="286">
        <f>'Sources and Uses Budget'!$C76</f>
        <v>100233</v>
      </c>
      <c r="C77" s="286">
        <f>'Sources and Uses Budget'!$C76</f>
        <v>100233</v>
      </c>
      <c r="D77" s="290">
        <f t="shared" si="0"/>
        <v>0</v>
      </c>
      <c r="E77" s="288"/>
      <c r="F77" s="287"/>
      <c r="G77" s="383"/>
    </row>
    <row r="78" spans="1:7" s="380" customFormat="1">
      <c r="A78" s="291" t="s">
        <v>615</v>
      </c>
      <c r="B78" s="290">
        <f>SUM(B73:B77)</f>
        <v>682939.89883132791</v>
      </c>
      <c r="C78" s="290">
        <f>SUM(C73:C77)</f>
        <v>682939.89883132791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3135283.86</v>
      </c>
      <c r="C80" s="286">
        <f>'Sources and Uses Budget'!$C79</f>
        <v>3135283.86</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1316</v>
      </c>
      <c r="B82" s="290">
        <f>SUM(B80:B81)</f>
        <v>3335283.86</v>
      </c>
      <c r="C82" s="290">
        <f>SUM(C80:C81)</f>
        <v>3335283.86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108337.91797855844</v>
      </c>
      <c r="C84" s="286">
        <f>'Sources and Uses Budget'!$C83</f>
        <v>108337.91797855844</v>
      </c>
      <c r="D84" s="290">
        <f t="shared" si="1"/>
        <v>0</v>
      </c>
      <c r="E84" s="288"/>
      <c r="F84" s="287"/>
      <c r="G84" s="383"/>
    </row>
    <row r="85" spans="1:7" s="380" customFormat="1">
      <c r="A85" s="289" t="s">
        <v>777</v>
      </c>
      <c r="B85" s="286">
        <f>'Sources and Uses Budget'!$C84</f>
        <v>190412</v>
      </c>
      <c r="C85" s="286">
        <f>'Sources and Uses Budget'!$C84</f>
        <v>190412</v>
      </c>
      <c r="D85" s="290">
        <f t="shared" si="1"/>
        <v>0</v>
      </c>
      <c r="E85" s="288"/>
      <c r="F85" s="287"/>
      <c r="G85" s="383"/>
    </row>
    <row r="86" spans="1:7" s="380" customFormat="1">
      <c r="A86" s="289" t="s">
        <v>778</v>
      </c>
      <c r="B86" s="286">
        <f>'Sources and Uses Budget'!$C85</f>
        <v>2917058</v>
      </c>
      <c r="C86" s="286">
        <f>'Sources and Uses Budget'!$C85</f>
        <v>2917058</v>
      </c>
      <c r="D86" s="290">
        <f t="shared" si="1"/>
        <v>0</v>
      </c>
      <c r="E86" s="288"/>
      <c r="F86" s="287"/>
      <c r="G86" s="383"/>
    </row>
    <row r="87" spans="1:7" s="380" customFormat="1">
      <c r="A87" s="289" t="s">
        <v>779</v>
      </c>
      <c r="B87" s="286">
        <f>'Sources and Uses Budget'!$C86</f>
        <v>550000</v>
      </c>
      <c r="C87" s="286">
        <f>'Sources and Uses Budget'!$C86</f>
        <v>550000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17000</v>
      </c>
      <c r="C91" s="286">
        <f>'Sources and Uses Budget'!$C90</f>
        <v>17000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75000</v>
      </c>
      <c r="C94" s="286">
        <f>'Sources and Uses Budget'!$C93</f>
        <v>75000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3927807.9179785587</v>
      </c>
      <c r="C97" s="290">
        <f>SUM(C84:C96)</f>
        <v>3927807.9179785587</v>
      </c>
      <c r="D97" s="290">
        <f t="shared" si="1"/>
        <v>0</v>
      </c>
      <c r="E97" s="288"/>
      <c r="F97" s="287"/>
      <c r="G97" s="383"/>
    </row>
    <row r="98" spans="1:7" s="380" customFormat="1">
      <c r="A98" s="291" t="s">
        <v>785</v>
      </c>
      <c r="B98" s="290">
        <f ca="1">SUM(B64+B71+B78+B82+B97)</f>
        <v>72307741.537311003</v>
      </c>
      <c r="C98" s="290">
        <f ca="1">SUM(C64+C71+C78+C82+C97)</f>
        <v>72307741.537311003</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4500000</v>
      </c>
      <c r="C100" s="286">
        <f>'Sources and Uses Budget'!$C99</f>
        <v>4500000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4500000</v>
      </c>
      <c r="C105" s="290">
        <f>SUM(C100:C104)</f>
        <v>4500000</v>
      </c>
      <c r="D105" s="290">
        <f t="shared" si="1"/>
        <v>0</v>
      </c>
      <c r="E105" s="288"/>
      <c r="F105" s="287"/>
      <c r="G105" s="383"/>
    </row>
    <row r="106" spans="1:7" s="380" customFormat="1">
      <c r="A106" s="291" t="s">
        <v>790</v>
      </c>
      <c r="B106" s="293">
        <f ca="1">SUM(B98+B105)</f>
        <v>76807741.537311003</v>
      </c>
      <c r="C106" s="293">
        <f ca="1">SUM(C98+C105)</f>
        <v>76807741.537311003</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4"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 workbookViewId="0">
      <selection activeCell="D56" sqref="D56:F5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2794</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2794</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2767</v>
      </c>
      <c r="D24" s="1295" t="s">
        <v>1154</v>
      </c>
      <c r="E24" s="1295"/>
      <c r="F24" s="1295"/>
      <c r="I24" s="524" t="s">
        <v>2075</v>
      </c>
    </row>
    <row r="25" spans="1:9" ht="14.25">
      <c r="A25" s="518"/>
      <c r="B25" s="518"/>
      <c r="D25" s="1295"/>
      <c r="E25" s="1295"/>
      <c r="F25" s="1295"/>
      <c r="I25" s="524"/>
    </row>
    <row r="26" spans="1:9">
      <c r="I26" s="524"/>
    </row>
    <row r="27" spans="1:9" ht="14.25">
      <c r="A27" s="518"/>
      <c r="B27" s="519" t="s">
        <v>2794</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2767</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2794</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2794</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2794</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2767</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2794</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2767</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2767</v>
      </c>
      <c r="D65" s="1295" t="s">
        <v>1163</v>
      </c>
      <c r="E65" s="1295"/>
      <c r="F65" s="1295"/>
      <c r="I65" s="524" t="s">
        <v>2077</v>
      </c>
    </row>
    <row r="66" spans="1:9">
      <c r="D66" s="1295"/>
      <c r="E66" s="1295"/>
      <c r="F66" s="1295"/>
      <c r="I66" s="524"/>
    </row>
    <row r="67" spans="1:9">
      <c r="I67" s="524"/>
    </row>
    <row r="68" spans="1:9" ht="14.25">
      <c r="A68" s="518"/>
      <c r="B68" s="519" t="s">
        <v>2794</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2767</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2794</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2794</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2794</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2794</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2767</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2767</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2767</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2794</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2794</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2794</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2767</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2767</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2794</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2767</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2794</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2767</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2767</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2767</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2767</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2767</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2794</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2794</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2794</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2767</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2794</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2794</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2794</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2767</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2767</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2767</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2767</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2767</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2767</v>
      </c>
      <c r="D305" s="1296" t="s">
        <v>1216</v>
      </c>
      <c r="E305" s="1296"/>
      <c r="F305" s="1296"/>
      <c r="I305" s="524" t="s">
        <v>2092</v>
      </c>
    </row>
    <row r="306" spans="1:9" ht="14.25">
      <c r="A306" s="518"/>
      <c r="B306" s="518"/>
      <c r="D306" s="528"/>
      <c r="E306" s="529"/>
      <c r="F306" s="529"/>
      <c r="I306" s="524"/>
    </row>
    <row r="307" spans="1:9" ht="13.7" customHeight="1">
      <c r="B307" s="519" t="s">
        <v>2767</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2767</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2767</v>
      </c>
      <c r="D316" s="1296" t="s">
        <v>1219</v>
      </c>
      <c r="E316" s="1296"/>
      <c r="F316" s="1296"/>
      <c r="I316" s="524" t="s">
        <v>2078</v>
      </c>
    </row>
    <row r="317" spans="1:9">
      <c r="E317" s="480"/>
      <c r="F317" s="480"/>
      <c r="I317" s="524"/>
    </row>
    <row r="318" spans="1:9" ht="14.25">
      <c r="A318" s="518"/>
      <c r="B318" s="519" t="s">
        <v>2767</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2767</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2767</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2767</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2767</v>
      </c>
      <c r="C360" s="510"/>
      <c r="D360" s="1281" t="s">
        <v>2372</v>
      </c>
      <c r="E360" s="1281"/>
      <c r="F360" s="1281"/>
      <c r="I360" s="514"/>
    </row>
    <row r="361" spans="1:9">
      <c r="A361" s="510"/>
      <c r="B361" s="510"/>
      <c r="C361" s="510"/>
      <c r="D361" s="481"/>
      <c r="E361" s="481"/>
      <c r="F361" s="480"/>
      <c r="I361" s="524"/>
    </row>
    <row r="362" spans="1:9">
      <c r="A362" s="510"/>
      <c r="B362" s="519" t="s">
        <v>2767</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2767</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2767</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2767</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2767</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2767</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2767</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2767</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2767</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2767</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2767</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2767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2767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2767</v>
      </c>
      <c r="C486" s="433"/>
      <c r="D486" s="1295"/>
      <c r="E486" s="1295"/>
      <c r="F486" s="1295"/>
      <c r="I486" s="524"/>
    </row>
    <row r="487" spans="1:9">
      <c r="A487" s="433"/>
      <c r="C487" s="433"/>
      <c r="D487" s="1295"/>
      <c r="E487" s="1295"/>
      <c r="F487" s="1295"/>
      <c r="I487" s="524"/>
    </row>
    <row r="488" spans="1:9">
      <c r="A488" s="433"/>
      <c r="B488" s="519" t="s">
        <v>2767</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2767</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2767</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2767</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2767</v>
      </c>
      <c r="D509" s="1296" t="s">
        <v>1243</v>
      </c>
      <c r="E509" s="1296"/>
      <c r="F509" s="1296"/>
      <c r="I509" s="524" t="s">
        <v>2097</v>
      </c>
    </row>
    <row r="510" spans="1:9" ht="14.25">
      <c r="A510" s="518"/>
      <c r="B510" s="518"/>
      <c r="D510" s="480"/>
      <c r="I510" s="524"/>
    </row>
    <row r="511" spans="1:9" ht="14.25">
      <c r="A511" s="518"/>
      <c r="B511" s="519" t="s">
        <v>2767</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2767</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2794</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2794</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2767</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2794</v>
      </c>
      <c r="C543" s="521"/>
      <c r="D543" s="1296" t="s">
        <v>897</v>
      </c>
      <c r="E543" s="1296"/>
      <c r="F543" s="1296"/>
      <c r="I543" s="524" t="s">
        <v>2148</v>
      </c>
    </row>
    <row r="544" spans="1:9" ht="13.7" customHeight="1">
      <c r="A544" s="521"/>
      <c r="B544" s="521"/>
      <c r="C544" s="521"/>
      <c r="D544" s="480"/>
      <c r="I544" s="524"/>
    </row>
    <row r="545" spans="1:9" ht="14.25">
      <c r="A545" s="518"/>
      <c r="B545" s="519" t="s">
        <v>2794</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2794</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2794</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2794</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2767</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2767</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2794</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2794</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2794</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2794</v>
      </c>
      <c r="D583" s="1282" t="s">
        <v>903</v>
      </c>
      <c r="E583" s="1282"/>
      <c r="F583" s="1282"/>
      <c r="I583" s="524"/>
    </row>
    <row r="584" spans="1:9">
      <c r="A584" s="524"/>
      <c r="B584" s="524"/>
      <c r="D584" s="510"/>
      <c r="I584" s="524"/>
    </row>
    <row r="585" spans="1:9">
      <c r="A585" s="524"/>
      <c r="B585" s="519" t="s">
        <v>2794</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2767</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2794</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2767</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2794</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2794</v>
      </c>
      <c r="D615" s="1293" t="s">
        <v>1189</v>
      </c>
      <c r="E615" s="1293"/>
      <c r="F615" s="1293"/>
      <c r="I615" s="524" t="s">
        <v>2153</v>
      </c>
    </row>
    <row r="616" spans="1:9">
      <c r="D616" s="1293"/>
      <c r="E616" s="1293"/>
      <c r="F616" s="1293"/>
      <c r="I616" s="524"/>
    </row>
    <row r="617" spans="1:9">
      <c r="I617" s="524"/>
    </row>
    <row r="618" spans="1:9">
      <c r="B618" s="519" t="s">
        <v>2794</v>
      </c>
      <c r="D618" s="1293" t="s">
        <v>1190</v>
      </c>
      <c r="E618" s="1293"/>
      <c r="F618" s="1293"/>
      <c r="I618" s="524" t="s">
        <v>2106</v>
      </c>
    </row>
    <row r="619" spans="1:9">
      <c r="C619" s="534"/>
      <c r="D619" s="1293"/>
      <c r="E619" s="1293"/>
      <c r="F619" s="1293"/>
      <c r="I619" s="524"/>
    </row>
    <row r="620" spans="1:9">
      <c r="C620" s="534"/>
      <c r="I620" s="524"/>
    </row>
    <row r="621" spans="1:9">
      <c r="B621" s="519" t="s">
        <v>2794</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2794</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2767</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2767</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2767</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2794</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2794</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2767</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2767</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2794</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2794</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2794</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2794</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2794</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2767</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2794</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2767</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2767</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2767</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2767</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2794</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2794</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2767</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2767</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2767</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2794</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2767</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2767</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2767</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2767</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2767</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2767</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2794</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2794</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2767</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2767</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2767</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2794</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2794</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2767</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2767</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2767</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2794</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2794</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2794</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2767</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2767</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2767</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2767</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2794</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2794</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2794</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2767</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2767</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2767</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2794</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2767</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2767</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2767</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2767</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2794</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2767</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2794</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2794</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2767</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2767</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2794</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2794</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2767</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2794</v>
      </c>
      <c r="C1050" s="433"/>
      <c r="D1050" s="433" t="s">
        <v>2004</v>
      </c>
      <c r="I1050" s="524" t="s">
        <v>2116</v>
      </c>
    </row>
    <row r="1051" spans="1:9">
      <c r="A1051" s="433"/>
      <c r="B1051" s="433"/>
      <c r="C1051" s="433"/>
      <c r="I1051" s="524"/>
    </row>
    <row r="1052" spans="1:9">
      <c r="A1052" s="433"/>
      <c r="B1052" s="519" t="s">
        <v>2767</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2794</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2767</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2767</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2767</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2767</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2767</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2767</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2767</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2794</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2767</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07" zoomScaleNormal="100" workbookViewId="0">
      <selection activeCell="AQ611" sqref="AQ61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2637</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85" t="s">
        <v>2638</v>
      </c>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row>
    <row r="17" spans="1:52" ht="12.95" customHeight="1"/>
    <row r="18" spans="1:52" ht="12.95" customHeight="1">
      <c r="A18" s="57" t="s">
        <v>101</v>
      </c>
      <c r="C18" s="4"/>
      <c r="D18" s="4"/>
      <c r="E18" s="4"/>
      <c r="F18" s="4"/>
      <c r="G18" s="4"/>
      <c r="H18" s="1445" t="s">
        <v>2639</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7" t="s">
        <v>1034</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4">
        <f ca="1">'Basis &amp; Credits'!AB56</f>
        <v>3703792</v>
      </c>
      <c r="N26" s="1784"/>
      <c r="O26" s="1784"/>
      <c r="P26" s="1784"/>
      <c r="Q26" s="178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 ca="1">'Basis &amp; Credits'!AB77</f>
        <v>13710992</v>
      </c>
      <c r="N27" s="1388"/>
      <c r="O27" s="1388"/>
      <c r="P27" s="1388"/>
      <c r="Q27" s="1388"/>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3" t="s">
        <v>554</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2523</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2527</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8">
        <v>18</v>
      </c>
      <c r="H113" s="1798"/>
      <c r="I113" s="3" t="s">
        <v>182</v>
      </c>
      <c r="L113" s="1798" t="s">
        <v>2745</v>
      </c>
      <c r="M113" s="1798"/>
      <c r="N113" s="1798"/>
      <c r="O113" s="1798"/>
      <c r="P113" s="1793" t="s">
        <v>2532</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t="s">
        <v>2645</v>
      </c>
      <c r="D115" s="1812"/>
      <c r="E115" s="1812"/>
      <c r="F115" s="1812"/>
      <c r="G115" s="1812"/>
      <c r="H115" s="1812"/>
      <c r="I115" s="1812"/>
      <c r="J115" s="1812"/>
      <c r="K115" s="181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8"/>
      <c r="Z117" s="1798"/>
      <c r="AA117" s="1798"/>
      <c r="AB117" s="1798"/>
      <c r="AC117" s="1798"/>
      <c r="AD117" s="1798"/>
      <c r="AE117" s="1798"/>
      <c r="AF117" s="1798"/>
      <c r="AG117" s="1798"/>
      <c r="AH117" s="1798"/>
      <c r="AI117" s="1798"/>
      <c r="AJ117" s="1798"/>
      <c r="AK117" s="1798"/>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8" t="s">
        <v>2640</v>
      </c>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8" t="s">
        <v>2641</v>
      </c>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5" t="s">
        <v>2642</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551" t="s">
        <v>2643</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444</v>
      </c>
      <c r="F155" s="8"/>
      <c r="G155" s="8"/>
      <c r="H155" s="8"/>
      <c r="I155" s="8"/>
      <c r="J155" s="8"/>
      <c r="K155" s="8"/>
      <c r="L155" s="8"/>
      <c r="M155" s="8"/>
      <c r="N155" s="8"/>
      <c r="O155" s="1789" t="s">
        <v>443</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2.95" customHeight="1">
      <c r="D156" t="s">
        <v>314</v>
      </c>
      <c r="O156" s="1404" t="s">
        <v>2644</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2645</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2.95" customHeight="1">
      <c r="D158" t="s">
        <v>316</v>
      </c>
      <c r="O158" s="1790">
        <v>92201</v>
      </c>
      <c r="P158" s="1790"/>
      <c r="Q158" s="1790"/>
      <c r="R158" s="1790"/>
      <c r="S158" s="9"/>
      <c r="T158" s="9"/>
      <c r="U158" s="9"/>
      <c r="V158" s="9"/>
      <c r="W158" s="9"/>
      <c r="X158" s="9"/>
      <c r="Y158" s="9"/>
      <c r="Z158" s="9"/>
      <c r="AA158" s="9"/>
      <c r="AB158" s="9"/>
      <c r="AC158" s="9"/>
      <c r="AD158" s="9"/>
      <c r="AE158" s="9"/>
      <c r="AF158" s="9"/>
      <c r="BN158" s="23" t="s">
        <v>646</v>
      </c>
      <c r="BT158" t="s">
        <v>486</v>
      </c>
    </row>
    <row r="159" spans="1:72" ht="12.95" customHeight="1">
      <c r="D159" t="s">
        <v>317</v>
      </c>
      <c r="O159" s="1792" t="s">
        <v>2646</v>
      </c>
      <c r="P159" s="1792"/>
      <c r="Q159" s="1792"/>
      <c r="R159" s="1792"/>
      <c r="S159" s="1792"/>
      <c r="T159" s="1792"/>
      <c r="V159" s="97" t="s">
        <v>272</v>
      </c>
      <c r="W159" s="1791"/>
      <c r="X159" s="1791"/>
      <c r="Y159" s="10"/>
      <c r="Z159" s="10"/>
      <c r="AA159" s="10"/>
      <c r="AB159" s="10"/>
      <c r="AC159" s="10"/>
      <c r="AD159" s="10"/>
      <c r="AE159" s="10"/>
      <c r="AF159" s="10"/>
      <c r="BN159" s="23" t="s">
        <v>340</v>
      </c>
      <c r="BT159" t="s">
        <v>487</v>
      </c>
    </row>
    <row r="160" spans="1:72" ht="12.95" customHeight="1">
      <c r="D160" t="s">
        <v>318</v>
      </c>
      <c r="O160" s="1792" t="s">
        <v>2647</v>
      </c>
      <c r="P160" s="1792"/>
      <c r="Q160" s="1792"/>
      <c r="R160" s="1792"/>
      <c r="S160" s="1792"/>
      <c r="T160" s="1792"/>
      <c r="U160" s="10"/>
      <c r="V160" s="10"/>
      <c r="W160" s="10"/>
      <c r="X160" s="10"/>
      <c r="Y160" s="10"/>
      <c r="Z160" s="10"/>
      <c r="AA160" s="10"/>
      <c r="AB160" s="10"/>
      <c r="AC160" s="10"/>
      <c r="AD160" s="10"/>
      <c r="AE160" s="10"/>
      <c r="AF160" s="10"/>
      <c r="BN160" s="23" t="s">
        <v>669</v>
      </c>
      <c r="BT160" t="s">
        <v>488</v>
      </c>
    </row>
    <row r="161" spans="1:72" ht="12.95" customHeight="1">
      <c r="D161" t="s">
        <v>319</v>
      </c>
      <c r="O161" s="1782" t="s">
        <v>2648</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3" t="s">
        <v>2627</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3" t="s">
        <v>548</v>
      </c>
      <c r="B169" s="1463"/>
      <c r="C169" s="1463"/>
      <c r="D169" s="1463"/>
      <c r="E169" s="1463"/>
      <c r="F169" s="1463"/>
      <c r="G169" s="1463"/>
      <c r="H169" s="1463"/>
      <c r="I169" s="1463"/>
      <c r="J169" s="1463"/>
      <c r="K169" s="1463"/>
      <c r="L169" s="1463"/>
      <c r="M169" s="1463"/>
      <c r="N169" s="1463"/>
      <c r="O169" s="1463"/>
      <c r="P169" s="1463"/>
      <c r="Q169" s="1463"/>
      <c r="R169" s="1463"/>
      <c r="S169" s="1463"/>
      <c r="T169" s="1463"/>
      <c r="U169" s="1463"/>
      <c r="V169" s="1463"/>
      <c r="W169" s="1463"/>
      <c r="X169" s="1463"/>
      <c r="Y169" s="1463"/>
      <c r="Z169" s="1463"/>
      <c r="AA169" s="1463"/>
      <c r="AB169" s="1463"/>
      <c r="AC169" s="1463"/>
      <c r="AD169" s="1463"/>
      <c r="AE169" s="1463"/>
      <c r="AF169" s="1463"/>
      <c r="AG169" s="1463"/>
      <c r="AH169" s="1463"/>
      <c r="AI169" s="1463"/>
      <c r="AJ169" s="1463"/>
      <c r="AK169" s="1463"/>
      <c r="AL169" s="1463"/>
      <c r="AM169" s="1463"/>
      <c r="AN169" s="1463"/>
      <c r="AO169" s="1463"/>
      <c r="AP169" s="1463"/>
      <c r="AQ169" s="1463"/>
      <c r="AR169" s="1463"/>
      <c r="AS169" s="1463"/>
      <c r="AT169" s="1463"/>
      <c r="AU169" s="95"/>
      <c r="AV169" s="95"/>
      <c r="AW169" s="95"/>
      <c r="AX169" s="95"/>
      <c r="AY169" s="95"/>
      <c r="BN169" s="23" t="s">
        <v>682</v>
      </c>
      <c r="BT169" t="s">
        <v>497</v>
      </c>
    </row>
    <row r="170" spans="1:72" ht="12.95" customHeight="1">
      <c r="A170" s="1463"/>
      <c r="B170" s="1463"/>
      <c r="C170" s="1463"/>
      <c r="D170" s="1463"/>
      <c r="E170" s="1463"/>
      <c r="F170" s="1463"/>
      <c r="G170" s="1463"/>
      <c r="H170" s="1463"/>
      <c r="I170" s="1463"/>
      <c r="J170" s="1463"/>
      <c r="K170" s="1463"/>
      <c r="L170" s="1463"/>
      <c r="M170" s="1463"/>
      <c r="N170" s="1463"/>
      <c r="O170" s="1463"/>
      <c r="P170" s="1463"/>
      <c r="Q170" s="1463"/>
      <c r="R170" s="1463"/>
      <c r="S170" s="1463"/>
      <c r="T170" s="1463"/>
      <c r="U170" s="1463"/>
      <c r="V170" s="1463"/>
      <c r="W170" s="1463"/>
      <c r="X170" s="1463"/>
      <c r="Y170" s="1463"/>
      <c r="Z170" s="1463"/>
      <c r="AA170" s="1463"/>
      <c r="AB170" s="1463"/>
      <c r="AC170" s="1463"/>
      <c r="AD170" s="1463"/>
      <c r="AE170" s="1463"/>
      <c r="AF170" s="1463"/>
      <c r="AG170" s="1463"/>
      <c r="AH170" s="1463"/>
      <c r="AI170" s="1463"/>
      <c r="AJ170" s="1463"/>
      <c r="AK170" s="1463"/>
      <c r="AL170" s="1463"/>
      <c r="AM170" s="1463"/>
      <c r="AN170" s="1463"/>
      <c r="AO170" s="1463"/>
      <c r="AP170" s="1463"/>
      <c r="AQ170" s="1463"/>
      <c r="AR170" s="1463"/>
      <c r="AS170" s="1463"/>
      <c r="AT170" s="146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8" t="s">
        <v>372</v>
      </c>
      <c r="K173" s="1788"/>
      <c r="L173" s="1788"/>
      <c r="M173" s="1788"/>
      <c r="N173" s="1788"/>
      <c r="O173" s="1788"/>
      <c r="P173" s="1788"/>
      <c r="Q173" s="1788"/>
      <c r="R173" s="1788"/>
      <c r="S173" s="1788"/>
      <c r="U173" s="25"/>
      <c r="X173" s="25"/>
      <c r="BB173" s="3" t="s">
        <v>308</v>
      </c>
      <c r="BN173" s="23" t="s">
        <v>215</v>
      </c>
      <c r="BT173" t="s">
        <v>501</v>
      </c>
    </row>
    <row r="174" spans="1:72" ht="12.95"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5" customHeight="1">
      <c r="C175" s="8"/>
      <c r="D175" s="3" t="s">
        <v>323</v>
      </c>
      <c r="O175" s="27"/>
      <c r="U175" s="1403" t="s">
        <v>678</v>
      </c>
      <c r="V175" s="1403"/>
      <c r="BB175" t="s">
        <v>2239</v>
      </c>
      <c r="BN175" s="23" t="s">
        <v>218</v>
      </c>
      <c r="BT175" t="s">
        <v>503</v>
      </c>
    </row>
    <row r="176" spans="1:72" ht="12.95" customHeight="1">
      <c r="C176" s="8"/>
      <c r="D176" s="26"/>
      <c r="E176" t="s">
        <v>305</v>
      </c>
      <c r="O176" s="27"/>
      <c r="P176" t="s">
        <v>2397</v>
      </c>
      <c r="T176" s="27" t="s">
        <v>306</v>
      </c>
      <c r="U176" s="1457"/>
      <c r="V176" s="1457"/>
      <c r="W176" s="1" t="s">
        <v>307</v>
      </c>
      <c r="X176" s="1809"/>
      <c r="Y176" s="1809"/>
      <c r="BB176" t="s">
        <v>2276</v>
      </c>
      <c r="BN176" s="23" t="s">
        <v>220</v>
      </c>
      <c r="BT176" t="s">
        <v>504</v>
      </c>
    </row>
    <row r="177" spans="1:72" ht="12.95" customHeight="1">
      <c r="C177" s="24"/>
      <c r="D177" t="s">
        <v>250</v>
      </c>
      <c r="R177" s="1403"/>
      <c r="S177" s="1403"/>
      <c r="BB177" t="s">
        <v>2581</v>
      </c>
      <c r="BN177" s="23" t="s">
        <v>221</v>
      </c>
      <c r="BT177" t="s">
        <v>505</v>
      </c>
    </row>
    <row r="178" spans="1:72" ht="12.95" customHeight="1">
      <c r="C178" s="24"/>
      <c r="D178" s="3" t="s">
        <v>1310</v>
      </c>
      <c r="AA178" t="s">
        <v>2397</v>
      </c>
      <c r="AE178" s="27" t="s">
        <v>306</v>
      </c>
      <c r="AF178" s="1635"/>
      <c r="AG178" s="1635"/>
      <c r="AH178" s="1" t="s">
        <v>307</v>
      </c>
      <c r="AI178" s="1687"/>
      <c r="AJ178" s="1687"/>
      <c r="AK178" s="1687"/>
      <c r="BB178" t="s">
        <v>2582</v>
      </c>
      <c r="BN178" s="23" t="s">
        <v>222</v>
      </c>
      <c r="BT178" t="s">
        <v>53</v>
      </c>
    </row>
    <row r="179" spans="1:72" ht="12.95" customHeight="1">
      <c r="C179" s="24"/>
      <c r="BN179" s="23" t="s">
        <v>223</v>
      </c>
      <c r="BT179" t="s">
        <v>54</v>
      </c>
    </row>
    <row r="180" spans="1:72" ht="12.95" customHeight="1">
      <c r="C180" s="24"/>
      <c r="D180" t="s">
        <v>2398</v>
      </c>
      <c r="X180" s="1403" t="s">
        <v>678</v>
      </c>
      <c r="Y180" s="140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JFM Villas Family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405" t="s">
        <v>2649</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2.95" customHeight="1">
      <c r="C186" s="21"/>
      <c r="E186" t="s">
        <v>168</v>
      </c>
      <c r="BN186" s="23" t="s">
        <v>233</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589</v>
      </c>
      <c r="I189" s="1404" t="s">
        <v>2645</v>
      </c>
      <c r="J189" s="1404"/>
      <c r="K189" s="1404"/>
      <c r="L189" s="1404"/>
      <c r="M189" s="1404"/>
      <c r="N189" s="1404"/>
      <c r="O189" s="1404"/>
      <c r="P189" s="1404"/>
      <c r="Q189" t="s">
        <v>591</v>
      </c>
      <c r="T189" s="1404" t="s">
        <v>67</v>
      </c>
      <c r="U189" s="1404"/>
      <c r="V189" s="1404"/>
      <c r="W189" s="1404"/>
      <c r="X189" s="1404"/>
      <c r="Y189" s="1404"/>
      <c r="Z189" s="1404"/>
      <c r="AA189" s="1404"/>
      <c r="AB189" s="1404"/>
      <c r="AC189" s="1404"/>
      <c r="AD189" s="1404"/>
      <c r="AE189" s="1404"/>
      <c r="BC189" t="s">
        <v>308</v>
      </c>
      <c r="BH189" s="3" t="s">
        <v>600</v>
      </c>
      <c r="BN189" s="23" t="s">
        <v>237</v>
      </c>
      <c r="BT189" t="s">
        <v>67</v>
      </c>
    </row>
    <row r="190" spans="1:72" ht="12.95" customHeight="1">
      <c r="C190" s="21"/>
      <c r="D190" t="s">
        <v>592</v>
      </c>
      <c r="I190" s="1405">
        <v>92201</v>
      </c>
      <c r="J190" s="1405"/>
      <c r="K190" s="1405"/>
      <c r="L190" s="1405"/>
      <c r="M190" s="1405"/>
      <c r="N190" s="1405"/>
      <c r="O190" t="s">
        <v>594</v>
      </c>
      <c r="T190" s="1799">
        <v>495.01</v>
      </c>
      <c r="U190" s="1799"/>
      <c r="V190" s="1799"/>
      <c r="W190" s="1799"/>
      <c r="X190" s="1799"/>
      <c r="Y190" s="1799"/>
      <c r="Z190" s="1799"/>
      <c r="AA190" s="1799"/>
      <c r="AB190" s="1799"/>
      <c r="AC190" s="1799"/>
      <c r="AD190" s="1799"/>
      <c r="AE190" s="1799"/>
      <c r="BC190" t="s">
        <v>1066</v>
      </c>
      <c r="BH190" t="s">
        <v>1066</v>
      </c>
      <c r="BN190" s="23" t="s">
        <v>644</v>
      </c>
      <c r="BT190" t="s">
        <v>68</v>
      </c>
    </row>
    <row r="191" spans="1:72" ht="12.95" customHeight="1">
      <c r="C191" s="21"/>
      <c r="D191" t="s">
        <v>471</v>
      </c>
      <c r="N191" s="1801" t="s">
        <v>2650</v>
      </c>
      <c r="O191" s="1801"/>
      <c r="P191" s="1801"/>
      <c r="Q191" s="1801"/>
      <c r="R191" s="1801"/>
      <c r="S191" s="1801"/>
      <c r="T191" s="1801"/>
      <c r="U191" s="1801"/>
      <c r="V191" s="1801"/>
      <c r="W191" s="1801"/>
      <c r="X191" s="1801"/>
      <c r="Y191" s="1801"/>
      <c r="Z191" s="1801"/>
      <c r="AA191" s="1801"/>
      <c r="AB191" s="1801"/>
      <c r="AC191" s="1801"/>
      <c r="AD191" s="1801"/>
      <c r="AE191" s="1801"/>
      <c r="BC191" t="s">
        <v>1065</v>
      </c>
      <c r="BH191" t="s">
        <v>1065</v>
      </c>
      <c r="BN191" s="23" t="s">
        <v>698</v>
      </c>
      <c r="BT191" t="s">
        <v>737</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1068</v>
      </c>
      <c r="BH192" s="3" t="s">
        <v>1476</v>
      </c>
      <c r="BN192" s="23" t="s">
        <v>699</v>
      </c>
      <c r="BT192" t="s">
        <v>738</v>
      </c>
    </row>
    <row r="193" spans="1:74" ht="12.95" customHeight="1">
      <c r="C193" s="21"/>
      <c r="D193" t="s">
        <v>2399</v>
      </c>
      <c r="M193" s="40"/>
      <c r="N193" s="928"/>
      <c r="O193" s="928"/>
      <c r="P193" s="928"/>
      <c r="Q193" s="928"/>
      <c r="R193" s="928"/>
      <c r="S193" s="928"/>
      <c r="T193" s="1806" t="s">
        <v>2581</v>
      </c>
      <c r="U193" s="1806"/>
      <c r="V193" s="1806"/>
      <c r="W193" s="1806"/>
      <c r="X193" s="1806"/>
      <c r="Y193" s="1806"/>
      <c r="Z193" s="1806"/>
      <c r="AA193" s="1806"/>
      <c r="AB193" s="1806"/>
      <c r="AC193" s="1806"/>
      <c r="AD193" s="1806"/>
      <c r="AE193" s="1806"/>
      <c r="AF193" s="1806"/>
      <c r="AG193" s="1806"/>
      <c r="AH193" s="1806"/>
      <c r="AI193" s="1806"/>
      <c r="BC193" t="s">
        <v>1067</v>
      </c>
      <c r="BH193" s="3" t="s">
        <v>1743</v>
      </c>
      <c r="BN193" s="23" t="s">
        <v>700</v>
      </c>
      <c r="BT193" t="s">
        <v>739</v>
      </c>
    </row>
    <row r="194" spans="1:74" ht="12.95" customHeight="1">
      <c r="C194" s="21"/>
      <c r="D194" s="3" t="s">
        <v>2583</v>
      </c>
      <c r="M194" s="40"/>
      <c r="N194" s="928"/>
      <c r="O194" s="928"/>
      <c r="P194" s="928"/>
      <c r="Q194" s="928"/>
      <c r="R194" s="928"/>
      <c r="S194" s="928"/>
      <c r="AH194" s="1403" t="s">
        <v>678</v>
      </c>
      <c r="AI194" s="1403"/>
      <c r="BC194" t="s">
        <v>1476</v>
      </c>
      <c r="BN194" s="23" t="s">
        <v>701</v>
      </c>
      <c r="BT194" t="s">
        <v>740</v>
      </c>
    </row>
    <row r="195" spans="1:74" ht="12.95" customHeight="1">
      <c r="C195" s="21"/>
      <c r="D195" t="s">
        <v>332</v>
      </c>
      <c r="T195" s="1403" t="s">
        <v>678</v>
      </c>
      <c r="U195" s="1403"/>
      <c r="W195" t="s">
        <v>694</v>
      </c>
      <c r="AH195" s="1403">
        <v>25</v>
      </c>
      <c r="AI195" s="1403"/>
      <c r="BC195" t="s">
        <v>2049</v>
      </c>
      <c r="BN195" s="23" t="s">
        <v>243</v>
      </c>
      <c r="BT195" t="s">
        <v>741</v>
      </c>
    </row>
    <row r="196" spans="1:74" ht="12.95" customHeight="1">
      <c r="C196" s="21"/>
      <c r="D196" t="s">
        <v>387</v>
      </c>
      <c r="T196" s="1434" t="s">
        <v>554</v>
      </c>
      <c r="U196" s="1434"/>
      <c r="W196" t="s">
        <v>695</v>
      </c>
      <c r="AH196" s="1403">
        <v>56</v>
      </c>
      <c r="AI196" s="1403"/>
      <c r="BN196" s="23" t="s">
        <v>244</v>
      </c>
      <c r="BT196" t="s">
        <v>69</v>
      </c>
    </row>
    <row r="197" spans="1:74" ht="12.95" customHeight="1">
      <c r="C197" s="21"/>
      <c r="D197" s="3" t="s">
        <v>169</v>
      </c>
      <c r="T197" s="1434" t="s">
        <v>678</v>
      </c>
      <c r="U197" s="1434"/>
      <c r="W197" t="s">
        <v>696</v>
      </c>
      <c r="AH197" s="1403">
        <v>18</v>
      </c>
      <c r="AI197" s="140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4">
        <v>0</v>
      </c>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4">
        <f ca="1">M26</f>
        <v>3703792</v>
      </c>
      <c r="Q204" s="1797"/>
      <c r="R204" s="1797"/>
      <c r="S204" s="1797"/>
      <c r="T204" s="1797"/>
      <c r="U204" s="1797"/>
      <c r="Z204" s="1795" t="s">
        <v>2631</v>
      </c>
      <c r="AA204" s="1795"/>
      <c r="AB204" s="1795"/>
      <c r="AC204" s="1795"/>
      <c r="AD204" s="1795"/>
      <c r="AE204" s="1795"/>
      <c r="AF204" s="1795"/>
      <c r="BC204" t="s">
        <v>619</v>
      </c>
      <c r="BN204" s="23" t="s">
        <v>713</v>
      </c>
      <c r="BT204" s="32" t="s">
        <v>198</v>
      </c>
      <c r="BU204" s="14"/>
    </row>
    <row r="205" spans="1:74" ht="12.95" customHeight="1">
      <c r="C205" s="21"/>
      <c r="D205" s="1794" t="s">
        <v>1356</v>
      </c>
      <c r="E205" s="1449"/>
      <c r="F205" s="1449"/>
      <c r="G205" s="1449"/>
      <c r="H205" s="1449"/>
      <c r="I205" s="1449"/>
      <c r="J205" s="1449"/>
      <c r="K205" s="1449"/>
      <c r="L205" s="1449"/>
      <c r="M205" s="1449"/>
      <c r="P205" s="1797">
        <f ca="1">M27</f>
        <v>13710992</v>
      </c>
      <c r="Q205" s="1797"/>
      <c r="R205" s="1797"/>
      <c r="S205" s="1797"/>
      <c r="T205" s="1797"/>
      <c r="U205" s="1797"/>
      <c r="V205" s="28"/>
      <c r="W205" s="3" t="s">
        <v>1911</v>
      </c>
      <c r="Z205" s="1795"/>
      <c r="AA205" s="1795"/>
      <c r="AB205" s="1795"/>
      <c r="AC205" s="1795"/>
      <c r="AD205" s="1795"/>
      <c r="AE205" s="1795"/>
      <c r="AF205" s="1795"/>
      <c r="AG205" t="s">
        <v>1357</v>
      </c>
      <c r="AP205" s="1403" t="s">
        <v>678</v>
      </c>
      <c r="AQ205" s="14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6" t="s">
        <v>2651</v>
      </c>
      <c r="E208" s="1446"/>
      <c r="F208" s="1446"/>
      <c r="G208" s="1446"/>
      <c r="H208" s="1446"/>
      <c r="I208" s="1446"/>
      <c r="J208" s="1446"/>
      <c r="K208" s="1446"/>
      <c r="L208" s="1446"/>
      <c r="M208" s="144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6" t="s">
        <v>1066</v>
      </c>
      <c r="E211" s="1446"/>
      <c r="F211" s="1446"/>
      <c r="G211" s="1446"/>
      <c r="H211" s="1446"/>
      <c r="I211" s="1446"/>
      <c r="J211" s="1446"/>
      <c r="K211" s="1446"/>
      <c r="L211" s="1446"/>
      <c r="M211" s="1446"/>
      <c r="BN211" s="23" t="s">
        <v>129</v>
      </c>
      <c r="BT211" s="32" t="s">
        <v>130</v>
      </c>
    </row>
    <row r="212" spans="1:72" ht="12.95" customHeight="1">
      <c r="C212" s="21"/>
      <c r="D212" t="s">
        <v>1353</v>
      </c>
      <c r="Y212" s="1403"/>
      <c r="Z212" s="1403"/>
      <c r="AB212" s="1804">
        <f>IFERROR(Y212/AG440,"")</f>
        <v>0</v>
      </c>
      <c r="AC212" s="180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2632</v>
      </c>
      <c r="BN214" s="23" t="s">
        <v>327</v>
      </c>
      <c r="BT214" s="32" t="s">
        <v>206</v>
      </c>
    </row>
    <row r="215" spans="1:72" ht="12.95" customHeight="1">
      <c r="D215" s="3" t="s">
        <v>1767</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2633</v>
      </c>
    </row>
    <row r="216" spans="1:72" ht="12.95" customHeight="1">
      <c r="D216" s="3" t="s">
        <v>1765</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6" t="s">
        <v>1092</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3" t="s">
        <v>549</v>
      </c>
      <c r="B222" s="1463"/>
      <c r="C222" s="1463"/>
      <c r="D222" s="1463"/>
      <c r="E222" s="1463"/>
      <c r="F222" s="1463"/>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463"/>
      <c r="AM222" s="1463"/>
      <c r="AN222" s="1463"/>
      <c r="AO222" s="1463"/>
      <c r="AP222" s="1463"/>
      <c r="AQ222" s="1463"/>
      <c r="AR222" s="1463"/>
      <c r="AS222" s="1463"/>
      <c r="AT222" s="1463"/>
      <c r="AU222" s="95"/>
      <c r="AV222" s="95"/>
      <c r="AW222" s="95"/>
      <c r="AX222" s="95"/>
      <c r="AY222" s="95"/>
      <c r="AZ222" s="3"/>
      <c r="BA222" s="3"/>
      <c r="BP222" s="34"/>
    </row>
    <row r="223" spans="1:72" ht="12.95" customHeight="1">
      <c r="A223" s="1463"/>
      <c r="B223" s="1463"/>
      <c r="C223" s="1463"/>
      <c r="D223" s="1463"/>
      <c r="E223" s="1463"/>
      <c r="F223" s="1463"/>
      <c r="G223" s="1463"/>
      <c r="H223" s="1463"/>
      <c r="I223" s="1463"/>
      <c r="J223" s="1463"/>
      <c r="K223" s="1463"/>
      <c r="L223" s="1463"/>
      <c r="M223" s="1463"/>
      <c r="N223" s="1463"/>
      <c r="O223" s="1463"/>
      <c r="P223" s="1463"/>
      <c r="Q223" s="1463"/>
      <c r="R223" s="1463"/>
      <c r="S223" s="1463"/>
      <c r="T223" s="1463"/>
      <c r="U223" s="1463"/>
      <c r="V223" s="1463"/>
      <c r="W223" s="1463"/>
      <c r="X223" s="1463"/>
      <c r="Y223" s="1463"/>
      <c r="Z223" s="1463"/>
      <c r="AA223" s="1463"/>
      <c r="AB223" s="1463"/>
      <c r="AC223" s="1463"/>
      <c r="AD223" s="1463"/>
      <c r="AE223" s="1463"/>
      <c r="AF223" s="1463"/>
      <c r="AG223" s="1463"/>
      <c r="AH223" s="1463"/>
      <c r="AI223" s="1463"/>
      <c r="AJ223" s="1463"/>
      <c r="AK223" s="1463"/>
      <c r="AL223" s="1463"/>
      <c r="AM223" s="1463"/>
      <c r="AN223" s="1463"/>
      <c r="AO223" s="1463"/>
      <c r="AP223" s="1463"/>
      <c r="AQ223" s="1463"/>
      <c r="AR223" s="1463"/>
      <c r="AS223" s="1463"/>
      <c r="AT223" s="1463"/>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600</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0" t="str">
        <f>H16</f>
        <v>The Coachella Valley Housing Coalition</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5" t="s">
        <v>2652</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2.95" customHeight="1">
      <c r="D234" s="4" t="s">
        <v>589</v>
      </c>
      <c r="E234" s="4"/>
      <c r="M234" s="1445" t="s">
        <v>2645</v>
      </c>
      <c r="N234" s="1446"/>
      <c r="O234" s="1446"/>
      <c r="P234" s="1446"/>
      <c r="Q234" s="1446"/>
      <c r="R234" s="1446"/>
      <c r="S234" s="1446"/>
      <c r="T234" s="1446"/>
      <c r="V234" s="33" t="s">
        <v>86</v>
      </c>
      <c r="W234" s="1551" t="s">
        <v>2653</v>
      </c>
      <c r="X234" s="1487"/>
      <c r="Y234" s="4" t="s">
        <v>592</v>
      </c>
      <c r="AC234" s="1446">
        <v>92201</v>
      </c>
      <c r="AD234" s="1446"/>
      <c r="AE234" s="144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5" t="s">
        <v>2654</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685" t="s">
        <v>2655</v>
      </c>
      <c r="N236" s="1474"/>
      <c r="O236" s="1474"/>
      <c r="P236" s="1474"/>
      <c r="Q236" s="1474"/>
      <c r="R236" s="1474"/>
      <c r="S236" s="4" t="s">
        <v>207</v>
      </c>
      <c r="T236" s="4"/>
      <c r="U236" s="1487">
        <v>502</v>
      </c>
      <c r="V236" s="1487"/>
      <c r="W236" s="1487"/>
      <c r="X236" s="4" t="s">
        <v>89</v>
      </c>
      <c r="Z236" s="1685" t="s">
        <v>2656</v>
      </c>
      <c r="AA236" s="1474"/>
      <c r="AB236" s="1474"/>
      <c r="AC236" s="1474"/>
      <c r="AD236" s="1474"/>
      <c r="AE236" s="1474"/>
      <c r="AU236" s="4"/>
      <c r="AV236" s="4"/>
      <c r="AW236" s="4"/>
      <c r="AX236" s="4"/>
      <c r="AY236" s="4"/>
      <c r="AZ236" s="4"/>
      <c r="BB236" s="218" t="s">
        <v>546</v>
      </c>
      <c r="BG236" s="259">
        <f>IF(AND(AND($M$249="nonprofit",$M$257="nonprofit",$M$265="(select one)")),1,0)</f>
        <v>0</v>
      </c>
    </row>
    <row r="237" spans="1:69" ht="12.95" customHeight="1">
      <c r="D237" s="4" t="s">
        <v>90</v>
      </c>
      <c r="E237" s="4"/>
      <c r="F237" s="4"/>
      <c r="M237" s="1782" t="s">
        <v>2657</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5" t="s">
        <v>378</v>
      </c>
      <c r="N238" s="1405"/>
      <c r="O238" s="1405"/>
      <c r="P238" s="1405"/>
      <c r="Q238" s="1405"/>
      <c r="R238" s="1405"/>
      <c r="S238" s="1405"/>
      <c r="T238" s="1405"/>
      <c r="U238" s="218" t="s">
        <v>922</v>
      </c>
      <c r="V238" s="218"/>
      <c r="W238" s="218"/>
      <c r="X238" s="218"/>
      <c r="Y238" s="218"/>
      <c r="Z238" s="218"/>
      <c r="AA238" s="1803"/>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5" t="s">
        <v>2658</v>
      </c>
      <c r="N243" s="1786"/>
      <c r="O243" s="1786"/>
      <c r="P243" s="1786"/>
      <c r="Q243" s="1786"/>
      <c r="R243" s="1786"/>
      <c r="S243" s="1786"/>
      <c r="T243" s="1786"/>
      <c r="U243" s="1786"/>
      <c r="V243" s="1786"/>
      <c r="W243" s="1786"/>
      <c r="X243" s="1786"/>
      <c r="Y243" s="1786"/>
      <c r="Z243" s="1786"/>
      <c r="AA243" s="1786"/>
      <c r="AB243" s="1786"/>
      <c r="AC243" s="1786"/>
      <c r="AD243" s="1786"/>
      <c r="AE243" s="1786"/>
      <c r="AF243" s="1786" t="s">
        <v>2659</v>
      </c>
      <c r="AG243" s="1786"/>
      <c r="AH243" s="1786"/>
      <c r="AI243" s="1786"/>
      <c r="AJ243" s="1786"/>
      <c r="AK243" s="178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5" t="s">
        <v>2652</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5" t="s">
        <v>2645</v>
      </c>
      <c r="N245" s="1446"/>
      <c r="O245" s="1446"/>
      <c r="P245" s="1446"/>
      <c r="Q245" s="1446"/>
      <c r="R245" s="1446"/>
      <c r="S245" s="1446"/>
      <c r="T245" s="1446"/>
      <c r="V245" s="33" t="s">
        <v>86</v>
      </c>
      <c r="W245" s="1551" t="s">
        <v>2653</v>
      </c>
      <c r="X245" s="1487"/>
      <c r="Y245" s="4" t="s">
        <v>592</v>
      </c>
      <c r="AC245" s="1446">
        <v>92201</v>
      </c>
      <c r="AD245" s="1446"/>
      <c r="AE245" s="1446"/>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5" t="s">
        <v>2640</v>
      </c>
      <c r="N246" s="1446"/>
      <c r="O246" s="1446"/>
      <c r="P246" s="1446"/>
      <c r="Q246" s="1446"/>
      <c r="R246" s="1446"/>
      <c r="S246" s="1446"/>
      <c r="T246" s="1446"/>
      <c r="U246" s="1446"/>
      <c r="V246" s="1446"/>
      <c r="W246" s="1446"/>
      <c r="X246" s="1446"/>
      <c r="Y246" s="1446"/>
      <c r="Z246" s="1446"/>
      <c r="AA246" s="1446"/>
      <c r="AB246" s="1446"/>
      <c r="AC246" s="1446"/>
      <c r="AD246" s="1446"/>
      <c r="AE246" s="1446"/>
      <c r="AH246" s="1783">
        <v>0.01</v>
      </c>
      <c r="AI246" s="1783"/>
      <c r="AJ246" s="1783"/>
      <c r="AK246" s="178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685" t="s">
        <v>2655</v>
      </c>
      <c r="N247" s="1474"/>
      <c r="O247" s="1474"/>
      <c r="P247" s="1474"/>
      <c r="Q247" s="1474"/>
      <c r="R247" s="1474"/>
      <c r="S247" s="4" t="s">
        <v>207</v>
      </c>
      <c r="T247" s="4"/>
      <c r="U247" s="1487">
        <v>204</v>
      </c>
      <c r="V247" s="1487"/>
      <c r="W247" s="1487"/>
      <c r="X247" s="4" t="s">
        <v>89</v>
      </c>
      <c r="Z247" s="1685" t="s">
        <v>2660</v>
      </c>
      <c r="AA247" s="1474"/>
      <c r="AB247" s="1474"/>
      <c r="AC247" s="1474"/>
      <c r="AD247" s="1474"/>
      <c r="AE247" s="1474"/>
      <c r="AU247" s="4"/>
      <c r="AV247" s="4"/>
      <c r="AW247" s="4"/>
      <c r="AX247" s="4"/>
      <c r="AY247" s="4"/>
      <c r="BG247">
        <v>0</v>
      </c>
      <c r="BH247" s="3"/>
      <c r="BN247" s="34"/>
    </row>
    <row r="248" spans="1:71" ht="12.95" customHeight="1">
      <c r="A248" s="19"/>
      <c r="B248" s="4"/>
      <c r="C248" s="4"/>
      <c r="D248" s="4" t="s">
        <v>90</v>
      </c>
      <c r="E248" s="4"/>
      <c r="F248" s="4"/>
      <c r="M248" s="1782" t="s">
        <v>2661</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5" t="s">
        <v>543</v>
      </c>
      <c r="N249" s="1405"/>
      <c r="O249" s="1405"/>
      <c r="P249" s="1405"/>
      <c r="Q249" s="1405"/>
      <c r="R249" s="1405"/>
      <c r="S249" s="1405"/>
      <c r="T249" s="1405"/>
      <c r="U249" s="218" t="s">
        <v>922</v>
      </c>
      <c r="V249" s="218"/>
      <c r="W249" s="218"/>
      <c r="X249" s="218"/>
      <c r="Y249" s="218"/>
      <c r="Z249" s="218"/>
      <c r="AA249" s="1803"/>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86"/>
      <c r="N251" s="1786"/>
      <c r="O251" s="1786"/>
      <c r="P251" s="1786"/>
      <c r="Q251" s="1786"/>
      <c r="R251" s="1786"/>
      <c r="S251" s="1786"/>
      <c r="T251" s="1786"/>
      <c r="U251" s="1786"/>
      <c r="V251" s="1786"/>
      <c r="W251" s="1786"/>
      <c r="X251" s="1786"/>
      <c r="Y251" s="1786"/>
      <c r="Z251" s="1786"/>
      <c r="AA251" s="1786"/>
      <c r="AB251" s="1786"/>
      <c r="AC251" s="1786"/>
      <c r="AD251" s="1786"/>
      <c r="AE251" s="1786"/>
      <c r="AF251" s="1786" t="s">
        <v>308</v>
      </c>
      <c r="AG251" s="1786"/>
      <c r="AH251" s="1786"/>
      <c r="AI251" s="1786"/>
      <c r="AJ251" s="1786"/>
      <c r="AK251" s="1786"/>
      <c r="AU251" s="4"/>
      <c r="AV251" s="4"/>
      <c r="AW251" s="4"/>
      <c r="AX251" s="4"/>
      <c r="AY251" s="4"/>
      <c r="BN251" s="34"/>
    </row>
    <row r="252" spans="1:71" ht="12.95" customHeight="1">
      <c r="A252" s="19"/>
      <c r="B252" s="4"/>
      <c r="C252" s="4"/>
      <c r="D252" s="4" t="s">
        <v>85</v>
      </c>
      <c r="E252" s="4"/>
      <c r="F252" s="4"/>
      <c r="G252" s="4"/>
      <c r="H252" s="4"/>
      <c r="I252" s="4"/>
      <c r="J252" s="4"/>
      <c r="K252" s="4"/>
      <c r="L252" s="4"/>
      <c r="M252" s="1446"/>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2.95" customHeight="1">
      <c r="A253" s="19"/>
      <c r="B253" s="4"/>
      <c r="C253" s="4"/>
      <c r="D253" s="4" t="s">
        <v>589</v>
      </c>
      <c r="E253" s="4"/>
      <c r="M253" s="1446"/>
      <c r="N253" s="1446"/>
      <c r="O253" s="1446"/>
      <c r="P253" s="1446"/>
      <c r="Q253" s="1446"/>
      <c r="R253" s="1446"/>
      <c r="S253" s="1446"/>
      <c r="T253" s="1446"/>
      <c r="V253" s="33" t="s">
        <v>86</v>
      </c>
      <c r="W253" s="1487"/>
      <c r="X253" s="1487"/>
      <c r="Y253" s="4" t="s">
        <v>592</v>
      </c>
      <c r="AC253" s="1446"/>
      <c r="AD253" s="1446"/>
      <c r="AE253" s="144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6"/>
      <c r="N254" s="1446"/>
      <c r="O254" s="1446"/>
      <c r="P254" s="1446"/>
      <c r="Q254" s="1446"/>
      <c r="R254" s="1446"/>
      <c r="S254" s="1446"/>
      <c r="T254" s="1446"/>
      <c r="U254" s="1446"/>
      <c r="V254" s="1446"/>
      <c r="W254" s="1446"/>
      <c r="X254" s="1446"/>
      <c r="Y254" s="1446"/>
      <c r="Z254" s="1446"/>
      <c r="AA254" s="1446"/>
      <c r="AB254" s="1446"/>
      <c r="AC254" s="1446"/>
      <c r="AD254" s="1446"/>
      <c r="AE254" s="1446"/>
      <c r="AH254" s="1783"/>
      <c r="AI254" s="1783"/>
      <c r="AJ254" s="1783"/>
      <c r="AK254" s="1783"/>
      <c r="AL254" s="4"/>
      <c r="AM254" s="4"/>
      <c r="AN254" s="4"/>
      <c r="AO254" s="4"/>
      <c r="AP254" s="4"/>
      <c r="AQ254" s="4"/>
      <c r="AR254" s="4"/>
      <c r="AS254" s="4"/>
      <c r="AT254" s="4"/>
    </row>
    <row r="255" spans="1:71" ht="12.95" customHeight="1">
      <c r="A255" s="19"/>
      <c r="B255" s="4"/>
      <c r="C255" s="4"/>
      <c r="D255" s="4" t="s">
        <v>88</v>
      </c>
      <c r="E255" s="4"/>
      <c r="F255" s="4"/>
      <c r="M255" s="1474"/>
      <c r="N255" s="1474"/>
      <c r="O255" s="1474"/>
      <c r="P255" s="1474"/>
      <c r="Q255" s="1474"/>
      <c r="R255" s="1474"/>
      <c r="S255" s="4" t="s">
        <v>207</v>
      </c>
      <c r="T255" s="4"/>
      <c r="U255" s="1487"/>
      <c r="V255" s="1487"/>
      <c r="W255" s="1487"/>
      <c r="X255" s="4" t="s">
        <v>89</v>
      </c>
      <c r="Z255" s="1474"/>
      <c r="AA255" s="1474"/>
      <c r="AB255" s="1474"/>
      <c r="AC255" s="1474"/>
      <c r="AD255" s="1474"/>
      <c r="AE255" s="1474"/>
      <c r="AU255" s="4"/>
      <c r="AV255" s="4"/>
      <c r="AW255" s="4"/>
      <c r="AX255" s="4"/>
      <c r="AY255" s="4"/>
      <c r="BN255" s="34"/>
    </row>
    <row r="256" spans="1:71" ht="12.95" customHeight="1">
      <c r="A256" s="19"/>
      <c r="B256" s="4"/>
      <c r="C256" s="4"/>
      <c r="D256" s="4" t="s">
        <v>90</v>
      </c>
      <c r="E256" s="4"/>
      <c r="F256" s="4"/>
      <c r="M256" s="1782"/>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5" t="s">
        <v>308</v>
      </c>
      <c r="N257" s="1405"/>
      <c r="O257" s="1405"/>
      <c r="P257" s="1405"/>
      <c r="Q257" s="1405"/>
      <c r="R257" s="1405"/>
      <c r="S257" s="1405"/>
      <c r="T257" s="1405"/>
      <c r="U257" s="218" t="s">
        <v>922</v>
      </c>
      <c r="V257" s="218"/>
      <c r="W257" s="218"/>
      <c r="X257" s="218"/>
      <c r="Y257" s="218"/>
      <c r="Z257" s="218"/>
      <c r="AA257" s="1803"/>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86"/>
      <c r="N259" s="1786"/>
      <c r="O259" s="1786"/>
      <c r="P259" s="1786"/>
      <c r="Q259" s="1786"/>
      <c r="R259" s="1786"/>
      <c r="S259" s="1786"/>
      <c r="T259" s="1786"/>
      <c r="U259" s="1786"/>
      <c r="V259" s="1786"/>
      <c r="W259" s="1786"/>
      <c r="X259" s="1786"/>
      <c r="Y259" s="1786"/>
      <c r="Z259" s="1786"/>
      <c r="AA259" s="1786"/>
      <c r="AB259" s="1786"/>
      <c r="AC259" s="1786"/>
      <c r="AD259" s="1786"/>
      <c r="AE259" s="1786"/>
      <c r="AF259" s="1786" t="s">
        <v>308</v>
      </c>
      <c r="AG259" s="1786"/>
      <c r="AH259" s="1786"/>
      <c r="AI259" s="1786"/>
      <c r="AJ259" s="1786"/>
      <c r="AK259" s="178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6"/>
      <c r="N261" s="1446"/>
      <c r="O261" s="1446"/>
      <c r="P261" s="1446"/>
      <c r="Q261" s="1446"/>
      <c r="R261" s="1446"/>
      <c r="S261" s="1446"/>
      <c r="T261" s="1446"/>
      <c r="V261" s="33" t="s">
        <v>86</v>
      </c>
      <c r="W261" s="1487"/>
      <c r="X261" s="1487"/>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3"/>
      <c r="AI262" s="1783"/>
      <c r="AJ262" s="1783"/>
      <c r="AK262" s="178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4"/>
      <c r="N263" s="1474"/>
      <c r="O263" s="1474"/>
      <c r="P263" s="1474"/>
      <c r="Q263" s="1474"/>
      <c r="R263" s="1474"/>
      <c r="S263" s="4" t="s">
        <v>207</v>
      </c>
      <c r="T263" s="4"/>
      <c r="U263" s="1487"/>
      <c r="V263" s="1487"/>
      <c r="W263" s="1487"/>
      <c r="X263" s="4" t="s">
        <v>89</v>
      </c>
      <c r="Z263" s="1474"/>
      <c r="AA263" s="1474"/>
      <c r="AB263" s="1474"/>
      <c r="AC263" s="1474"/>
      <c r="AD263" s="1474"/>
      <c r="AE263" s="147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5" t="s">
        <v>308</v>
      </c>
      <c r="N265" s="1405"/>
      <c r="O265" s="1405"/>
      <c r="P265" s="1405"/>
      <c r="Q265" s="1405"/>
      <c r="R265" s="1405"/>
      <c r="S265" s="1405"/>
      <c r="T265" s="1405"/>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5" t="str">
        <f>IFERROR(BO245,"")</f>
        <v>Nonprofit</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5" t="s">
        <v>2662</v>
      </c>
      <c r="M274" s="1786"/>
      <c r="N274" s="1786"/>
      <c r="O274" s="1786"/>
      <c r="P274" s="1786"/>
      <c r="Q274" s="1786"/>
      <c r="R274" s="1786"/>
      <c r="S274" s="1786"/>
      <c r="T274" s="1786"/>
      <c r="U274" s="1786"/>
      <c r="V274" s="1786"/>
      <c r="W274" s="1786"/>
      <c r="X274" s="1786"/>
      <c r="Y274" s="1786"/>
      <c r="Z274" s="1786"/>
      <c r="AA274" s="1786"/>
      <c r="AB274" s="1786"/>
      <c r="AC274" s="1786"/>
      <c r="AD274" s="1786"/>
      <c r="AE274" s="1786"/>
      <c r="AF274" s="1786"/>
      <c r="AG274" s="1786"/>
      <c r="AH274" s="1786"/>
      <c r="AI274" s="1786"/>
      <c r="AJ274" s="178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2663</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5" t="s">
        <v>2664</v>
      </c>
      <c r="M276" s="1446"/>
      <c r="N276" s="1446"/>
      <c r="O276" s="1446"/>
      <c r="P276" s="1446"/>
      <c r="Q276" s="1446"/>
      <c r="R276" s="1446"/>
      <c r="S276" s="1446"/>
      <c r="U276" s="33" t="s">
        <v>86</v>
      </c>
      <c r="V276" s="1551" t="s">
        <v>2653</v>
      </c>
      <c r="W276" s="1487"/>
      <c r="X276" s="4" t="s">
        <v>592</v>
      </c>
      <c r="AB276" s="1446">
        <v>94607</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2665</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74">
        <v>5108328300</v>
      </c>
      <c r="M278" s="1474"/>
      <c r="N278" s="1474"/>
      <c r="O278" s="1474"/>
      <c r="P278" s="1474"/>
      <c r="Q278" s="1474"/>
      <c r="R278" s="4" t="s">
        <v>207</v>
      </c>
      <c r="S278" s="4"/>
      <c r="T278" s="1487">
        <v>2</v>
      </c>
      <c r="U278" s="1487"/>
      <c r="V278" s="1487"/>
      <c r="W278" s="4" t="s">
        <v>89</v>
      </c>
      <c r="Y278" s="1685" t="s">
        <v>2666</v>
      </c>
      <c r="Z278" s="1474"/>
      <c r="AA278" s="1474"/>
      <c r="AB278" s="1474"/>
      <c r="AC278" s="1474"/>
      <c r="AD278" s="1474"/>
      <c r="BN278" s="34"/>
    </row>
    <row r="279" spans="1:66" ht="12.95" customHeight="1">
      <c r="D279" s="4" t="s">
        <v>90</v>
      </c>
      <c r="E279" s="4"/>
      <c r="F279" s="4"/>
      <c r="L279" s="1782" t="s">
        <v>2667</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c r="BN279" s="34"/>
    </row>
    <row r="280" spans="1:66" ht="12.95" customHeight="1">
      <c r="D280" s="3" t="s">
        <v>632</v>
      </c>
      <c r="E280" s="3"/>
      <c r="F280" s="3"/>
      <c r="G280" s="3"/>
      <c r="H280" s="3"/>
      <c r="I280" s="3"/>
      <c r="L280" s="1551" t="s">
        <v>2668</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3" t="s">
        <v>550</v>
      </c>
      <c r="B282" s="1463"/>
      <c r="C282" s="1463"/>
      <c r="D282" s="1463"/>
      <c r="E282" s="1463"/>
      <c r="F282" s="1463"/>
      <c r="G282" s="1463"/>
      <c r="H282" s="1463"/>
      <c r="I282" s="1463"/>
      <c r="J282" s="1463"/>
      <c r="K282" s="1463"/>
      <c r="L282" s="1463"/>
      <c r="M282" s="1463"/>
      <c r="N282" s="1463"/>
      <c r="O282" s="1463"/>
      <c r="P282" s="1463"/>
      <c r="Q282" s="1463"/>
      <c r="R282" s="1463"/>
      <c r="S282" s="1463"/>
      <c r="T282" s="1463"/>
      <c r="U282" s="1463"/>
      <c r="V282" s="1463"/>
      <c r="W282" s="1463"/>
      <c r="X282" s="1463"/>
      <c r="Y282" s="1463"/>
      <c r="Z282" s="1463"/>
      <c r="AA282" s="1463"/>
      <c r="AB282" s="1463"/>
      <c r="AC282" s="1463"/>
      <c r="AD282" s="1463"/>
      <c r="AE282" s="1463"/>
      <c r="AF282" s="1463"/>
      <c r="AG282" s="1463"/>
      <c r="AH282" s="1463"/>
      <c r="AI282" s="1463"/>
      <c r="AJ282" s="1463"/>
      <c r="AK282" s="1463"/>
      <c r="AL282" s="1463"/>
      <c r="AM282" s="1463"/>
      <c r="AN282" s="1463"/>
      <c r="AO282" s="1463"/>
      <c r="AP282" s="1463"/>
      <c r="AQ282" s="1463"/>
      <c r="AR282" s="1463"/>
      <c r="AS282" s="1463"/>
      <c r="AT282" s="1463"/>
      <c r="AU282" s="95"/>
      <c r="AV282" s="95"/>
      <c r="AW282" s="95"/>
      <c r="AX282" s="95"/>
      <c r="AY282" s="95"/>
      <c r="BN282" s="34"/>
    </row>
    <row r="283" spans="1:66" ht="12.95" customHeight="1">
      <c r="A283" s="1463"/>
      <c r="B283" s="1463"/>
      <c r="C283" s="1463"/>
      <c r="D283" s="1463"/>
      <c r="E283" s="1463"/>
      <c r="F283" s="1463"/>
      <c r="G283" s="1463"/>
      <c r="H283" s="1463"/>
      <c r="I283" s="1463"/>
      <c r="J283" s="1463"/>
      <c r="K283" s="1463"/>
      <c r="L283" s="1463"/>
      <c r="M283" s="1463"/>
      <c r="N283" s="1463"/>
      <c r="O283" s="1463"/>
      <c r="P283" s="1463"/>
      <c r="Q283" s="1463"/>
      <c r="R283" s="1463"/>
      <c r="S283" s="1463"/>
      <c r="T283" s="1463"/>
      <c r="U283" s="1463"/>
      <c r="V283" s="1463"/>
      <c r="W283" s="1463"/>
      <c r="X283" s="1463"/>
      <c r="Y283" s="1463"/>
      <c r="Z283" s="1463"/>
      <c r="AA283" s="1463"/>
      <c r="AB283" s="1463"/>
      <c r="AC283" s="1463"/>
      <c r="AD283" s="1463"/>
      <c r="AE283" s="1463"/>
      <c r="AF283" s="1463"/>
      <c r="AG283" s="1463"/>
      <c r="AH283" s="1463"/>
      <c r="AI283" s="1463"/>
      <c r="AJ283" s="1463"/>
      <c r="AK283" s="1463"/>
      <c r="AL283" s="1463"/>
      <c r="AM283" s="1463"/>
      <c r="AN283" s="1463"/>
      <c r="AO283" s="1463"/>
      <c r="AP283" s="1463"/>
      <c r="AQ283" s="1463"/>
      <c r="AR283" s="1463"/>
      <c r="AS283" s="1463"/>
      <c r="AT283" s="14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04" t="s">
        <v>2638</v>
      </c>
      <c r="I287" s="1404"/>
      <c r="J287" s="1404"/>
      <c r="K287" s="1404"/>
      <c r="L287" s="1404"/>
      <c r="M287" s="1404"/>
      <c r="N287" s="1404"/>
      <c r="O287" s="1404"/>
      <c r="P287" s="1404"/>
      <c r="Q287" s="1404"/>
      <c r="R287" s="1404"/>
      <c r="T287" s="3" t="s">
        <v>576</v>
      </c>
      <c r="V287" s="3"/>
      <c r="W287" s="3"/>
      <c r="X287" s="3"/>
      <c r="Y287" s="3"/>
      <c r="AA287" s="1404" t="s">
        <v>2669</v>
      </c>
      <c r="AB287" s="1404"/>
      <c r="AC287" s="1404"/>
      <c r="AD287" s="1404"/>
      <c r="AE287" s="1404"/>
      <c r="AF287" s="1404"/>
      <c r="AG287" s="1404"/>
      <c r="AH287" s="1404"/>
      <c r="AI287" s="1404"/>
      <c r="AJ287" s="1404"/>
      <c r="AK287" s="1404"/>
      <c r="BN287" s="34"/>
    </row>
    <row r="288" spans="1:66" ht="12.95" customHeight="1">
      <c r="B288" s="3" t="s">
        <v>480</v>
      </c>
      <c r="C288" s="3"/>
      <c r="D288" s="3"/>
      <c r="E288" s="3"/>
      <c r="F288" s="3"/>
      <c r="H288" s="1405" t="s">
        <v>2670</v>
      </c>
      <c r="I288" s="1405"/>
      <c r="J288" s="1405"/>
      <c r="K288" s="1405"/>
      <c r="L288" s="1405"/>
      <c r="M288" s="1405"/>
      <c r="N288" s="1405"/>
      <c r="O288" s="1405"/>
      <c r="P288" s="1405"/>
      <c r="Q288" s="1405"/>
      <c r="R288" s="1405"/>
      <c r="T288" s="3" t="s">
        <v>480</v>
      </c>
      <c r="V288" s="3"/>
      <c r="W288" s="3"/>
      <c r="X288" s="3"/>
      <c r="Y288" s="3"/>
      <c r="AA288" s="1405" t="s">
        <v>2746</v>
      </c>
      <c r="AB288" s="1405"/>
      <c r="AC288" s="1405"/>
      <c r="AD288" s="1405"/>
      <c r="AE288" s="1405"/>
      <c r="AF288" s="1405"/>
      <c r="AG288" s="1405"/>
      <c r="AH288" s="1405"/>
      <c r="AI288" s="1405"/>
      <c r="AJ288" s="1405"/>
      <c r="AK288" s="1405"/>
      <c r="BN288" s="34"/>
    </row>
    <row r="289" spans="2:66" ht="12.95" customHeight="1">
      <c r="B289" s="3" t="s">
        <v>481</v>
      </c>
      <c r="C289" s="3"/>
      <c r="D289" s="3"/>
      <c r="E289" s="3"/>
      <c r="F289" s="3"/>
      <c r="H289" s="1405" t="s">
        <v>2671</v>
      </c>
      <c r="I289" s="1405"/>
      <c r="J289" s="1405"/>
      <c r="K289" s="1405"/>
      <c r="L289" s="1405"/>
      <c r="M289" s="1405"/>
      <c r="N289" s="1405"/>
      <c r="O289" s="1405"/>
      <c r="P289" s="1405"/>
      <c r="Q289" s="1405"/>
      <c r="R289" s="1405"/>
      <c r="T289" s="3" t="s">
        <v>75</v>
      </c>
      <c r="V289" s="3"/>
      <c r="W289" s="3"/>
      <c r="X289" s="3"/>
      <c r="Y289" s="3"/>
      <c r="AA289" s="1405" t="s">
        <v>2672</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
        <v>2654</v>
      </c>
      <c r="I290" s="1405"/>
      <c r="J290" s="1405"/>
      <c r="K290" s="1405"/>
      <c r="L290" s="1405"/>
      <c r="M290" s="1405"/>
      <c r="N290" s="1405"/>
      <c r="O290" s="1405"/>
      <c r="P290" s="1405"/>
      <c r="Q290" s="1405"/>
      <c r="R290" s="1405"/>
      <c r="T290" s="3" t="s">
        <v>87</v>
      </c>
      <c r="V290" s="3"/>
      <c r="W290" s="3"/>
      <c r="X290" s="3"/>
      <c r="Y290" s="3"/>
      <c r="AA290" s="1405" t="s">
        <v>2673</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5" t="s">
        <v>2655</v>
      </c>
      <c r="I291" s="1466"/>
      <c r="J291" s="1466"/>
      <c r="K291" s="1466"/>
      <c r="L291" s="1466"/>
      <c r="M291" s="1466"/>
      <c r="N291" s="4" t="s">
        <v>207</v>
      </c>
      <c r="O291" s="4"/>
      <c r="P291" s="1446">
        <v>502</v>
      </c>
      <c r="Q291" s="1446"/>
      <c r="R291" s="1446"/>
      <c r="S291" s="3"/>
      <c r="T291" s="3" t="s">
        <v>88</v>
      </c>
      <c r="V291" s="3"/>
      <c r="W291" s="3"/>
      <c r="X291" s="3"/>
      <c r="Y291" s="3"/>
      <c r="AA291" s="1465" t="s">
        <v>2674</v>
      </c>
      <c r="AB291" s="1466"/>
      <c r="AC291" s="1466"/>
      <c r="AD291" s="1466"/>
      <c r="AE291" s="1466"/>
      <c r="AF291" s="1466"/>
      <c r="AG291" s="4" t="s">
        <v>207</v>
      </c>
      <c r="AH291" s="4"/>
      <c r="AI291" s="1446"/>
      <c r="AJ291" s="1446"/>
      <c r="AK291" s="1446"/>
      <c r="BN291" s="34"/>
    </row>
    <row r="292" spans="2:66" ht="12.95" customHeight="1">
      <c r="B292" s="3" t="s">
        <v>89</v>
      </c>
      <c r="C292" s="3"/>
      <c r="D292" s="3"/>
      <c r="E292" s="3"/>
      <c r="F292" s="3"/>
      <c r="G292" s="3"/>
      <c r="H292" s="1685" t="s">
        <v>2660</v>
      </c>
      <c r="I292" s="1474"/>
      <c r="J292" s="1474"/>
      <c r="K292" s="1474"/>
      <c r="L292" s="1474"/>
      <c r="M292" s="1474"/>
      <c r="N292" s="4"/>
      <c r="O292" s="4"/>
      <c r="P292" s="35"/>
      <c r="Q292" s="35"/>
      <c r="R292" s="35"/>
      <c r="S292" s="3"/>
      <c r="T292" s="3" t="s">
        <v>89</v>
      </c>
      <c r="V292" s="3"/>
      <c r="W292" s="3"/>
      <c r="X292" s="3"/>
      <c r="Y292" s="3"/>
      <c r="AA292" s="1474"/>
      <c r="AB292" s="1474"/>
      <c r="AC292" s="1474"/>
      <c r="AD292" s="1474"/>
      <c r="AE292" s="1474"/>
      <c r="AF292" s="1474"/>
      <c r="AG292" s="4"/>
      <c r="AH292" s="4"/>
      <c r="AI292" s="35"/>
      <c r="AJ292" s="35"/>
      <c r="AK292" s="35"/>
      <c r="BN292" s="34"/>
    </row>
    <row r="293" spans="2:66" ht="12.95" customHeight="1">
      <c r="B293" s="3" t="s">
        <v>76</v>
      </c>
      <c r="C293" s="3"/>
      <c r="D293" s="3"/>
      <c r="E293" s="3"/>
      <c r="F293" s="3"/>
      <c r="G293" s="3"/>
      <c r="H293" s="1405" t="s">
        <v>2657</v>
      </c>
      <c r="I293" s="1405"/>
      <c r="J293" s="1405"/>
      <c r="K293" s="1405"/>
      <c r="L293" s="1405"/>
      <c r="M293" s="1405"/>
      <c r="N293" s="1404"/>
      <c r="O293" s="1404"/>
      <c r="P293" s="1404"/>
      <c r="Q293" s="1404"/>
      <c r="R293" s="1404"/>
      <c r="S293" s="3"/>
      <c r="T293" s="3" t="s">
        <v>76</v>
      </c>
      <c r="V293" s="3"/>
      <c r="W293" s="3"/>
      <c r="X293" s="3"/>
      <c r="Y293" s="3"/>
      <c r="AA293" s="1405" t="s">
        <v>2675</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2676</v>
      </c>
      <c r="I295" s="1404"/>
      <c r="J295" s="1404"/>
      <c r="K295" s="1404"/>
      <c r="L295" s="1404"/>
      <c r="M295" s="1404"/>
      <c r="N295" s="1404"/>
      <c r="O295" s="1404"/>
      <c r="P295" s="1404"/>
      <c r="Q295" s="1404"/>
      <c r="R295" s="1404"/>
      <c r="T295" s="3" t="s">
        <v>365</v>
      </c>
      <c r="V295" s="3"/>
      <c r="W295" s="3"/>
      <c r="X295" s="3"/>
      <c r="Y295" s="3"/>
      <c r="AA295" s="1404"/>
      <c r="AB295" s="1404"/>
      <c r="AC295" s="1404"/>
      <c r="AD295" s="1404"/>
      <c r="AE295" s="1404"/>
      <c r="AF295" s="1404"/>
      <c r="AG295" s="1404"/>
      <c r="AH295" s="1404"/>
      <c r="AI295" s="1404"/>
      <c r="AJ295" s="1404"/>
      <c r="AK295" s="1404"/>
      <c r="BN295" s="34"/>
    </row>
    <row r="296" spans="2:66" ht="12.95" customHeight="1">
      <c r="B296" s="3" t="s">
        <v>480</v>
      </c>
      <c r="C296" s="3"/>
      <c r="D296" s="3"/>
      <c r="E296" s="3"/>
      <c r="F296" s="3"/>
      <c r="H296" s="1405" t="s">
        <v>2677</v>
      </c>
      <c r="I296" s="1405"/>
      <c r="J296" s="1405"/>
      <c r="K296" s="1405"/>
      <c r="L296" s="1405"/>
      <c r="M296" s="1405"/>
      <c r="N296" s="1405"/>
      <c r="O296" s="1405"/>
      <c r="P296" s="1405"/>
      <c r="Q296" s="1405"/>
      <c r="R296" s="1405"/>
      <c r="T296" s="3" t="s">
        <v>480</v>
      </c>
      <c r="V296" s="3"/>
      <c r="W296" s="3"/>
      <c r="X296" s="3"/>
      <c r="Y296" s="3"/>
      <c r="AA296" s="1405"/>
      <c r="AB296" s="1405"/>
      <c r="AC296" s="1405"/>
      <c r="AD296" s="1405"/>
      <c r="AE296" s="1405"/>
      <c r="AF296" s="1405"/>
      <c r="AG296" s="1405"/>
      <c r="AH296" s="1405"/>
      <c r="AI296" s="1405"/>
      <c r="AJ296" s="1405"/>
      <c r="AK296" s="1405"/>
      <c r="BN296" s="34"/>
    </row>
    <row r="297" spans="2:66" ht="12.95" customHeight="1">
      <c r="B297" s="3" t="s">
        <v>481</v>
      </c>
      <c r="C297" s="3"/>
      <c r="D297" s="3"/>
      <c r="E297" s="3"/>
      <c r="F297" s="3"/>
      <c r="H297" s="1405" t="s">
        <v>2678</v>
      </c>
      <c r="I297" s="1405"/>
      <c r="J297" s="1405"/>
      <c r="K297" s="1405"/>
      <c r="L297" s="1405"/>
      <c r="M297" s="1405"/>
      <c r="N297" s="1405"/>
      <c r="O297" s="1405"/>
      <c r="P297" s="1405"/>
      <c r="Q297" s="1405"/>
      <c r="R297" s="1405"/>
      <c r="T297" s="3" t="s">
        <v>75</v>
      </c>
      <c r="V297" s="3"/>
      <c r="W297" s="3"/>
      <c r="X297" s="3"/>
      <c r="Y297" s="3"/>
      <c r="AA297" s="1405"/>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2679</v>
      </c>
      <c r="I298" s="1405"/>
      <c r="J298" s="1405"/>
      <c r="K298" s="1405"/>
      <c r="L298" s="1405"/>
      <c r="M298" s="1405"/>
      <c r="N298" s="1405"/>
      <c r="O298" s="1405"/>
      <c r="P298" s="1405"/>
      <c r="Q298" s="1405"/>
      <c r="R298" s="1405"/>
      <c r="T298" s="3" t="s">
        <v>87</v>
      </c>
      <c r="V298" s="3"/>
      <c r="W298" s="3"/>
      <c r="X298" s="3"/>
      <c r="Y298" s="3"/>
      <c r="AA298" s="1405"/>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5" t="s">
        <v>2680</v>
      </c>
      <c r="I299" s="1466"/>
      <c r="J299" s="1466"/>
      <c r="K299" s="1466"/>
      <c r="L299" s="1466"/>
      <c r="M299" s="1466"/>
      <c r="N299" s="4" t="s">
        <v>207</v>
      </c>
      <c r="O299" s="4"/>
      <c r="P299" s="1446"/>
      <c r="Q299" s="1446"/>
      <c r="R299" s="1446"/>
      <c r="S299" s="3"/>
      <c r="T299" s="3" t="s">
        <v>88</v>
      </c>
      <c r="V299" s="3"/>
      <c r="W299" s="3"/>
      <c r="X299" s="3"/>
      <c r="Y299" s="3"/>
      <c r="AA299" s="1466"/>
      <c r="AB299" s="1466"/>
      <c r="AC299" s="1466"/>
      <c r="AD299" s="1466"/>
      <c r="AE299" s="1466"/>
      <c r="AF299" s="1466"/>
      <c r="AG299" s="4" t="s">
        <v>207</v>
      </c>
      <c r="AH299" s="4"/>
      <c r="AI299" s="1446"/>
      <c r="AJ299" s="1446"/>
      <c r="AK299" s="1446"/>
      <c r="BN299" s="34"/>
    </row>
    <row r="300" spans="2:66" ht="12.95" customHeight="1">
      <c r="B300" s="3" t="s">
        <v>89</v>
      </c>
      <c r="C300" s="3"/>
      <c r="D300" s="3"/>
      <c r="E300" s="3"/>
      <c r="F300" s="3"/>
      <c r="G300" s="3"/>
      <c r="H300" s="1474"/>
      <c r="I300" s="1474"/>
      <c r="J300" s="1474"/>
      <c r="K300" s="1474"/>
      <c r="L300" s="1474"/>
      <c r="M300" s="1474"/>
      <c r="N300" s="4"/>
      <c r="O300" s="4"/>
      <c r="P300" s="35"/>
      <c r="Q300" s="35"/>
      <c r="R300" s="35"/>
      <c r="S300" s="3"/>
      <c r="T300" s="3" t="s">
        <v>89</v>
      </c>
      <c r="V300" s="3"/>
      <c r="W300" s="3"/>
      <c r="X300" s="3"/>
      <c r="Y300" s="3"/>
      <c r="AA300" s="1474"/>
      <c r="AB300" s="1474"/>
      <c r="AC300" s="1474"/>
      <c r="AD300" s="1474"/>
      <c r="AE300" s="1474"/>
      <c r="AF300" s="1474"/>
      <c r="AG300" s="4"/>
      <c r="AH300" s="4"/>
      <c r="AI300" s="35"/>
      <c r="AJ300" s="35"/>
      <c r="AK300" s="35"/>
      <c r="BN300" s="34"/>
    </row>
    <row r="301" spans="2:66" ht="12.95" customHeight="1">
      <c r="B301" s="3" t="s">
        <v>76</v>
      </c>
      <c r="C301" s="3"/>
      <c r="D301" s="3"/>
      <c r="E301" s="3"/>
      <c r="F301" s="3"/>
      <c r="G301" s="3"/>
      <c r="H301" s="1405" t="s">
        <v>2681</v>
      </c>
      <c r="I301" s="1405"/>
      <c r="J301" s="1405"/>
      <c r="K301" s="1405"/>
      <c r="L301" s="1405"/>
      <c r="M301" s="1405"/>
      <c r="N301" s="1404"/>
      <c r="O301" s="1404"/>
      <c r="P301" s="1404"/>
      <c r="Q301" s="1404"/>
      <c r="R301" s="1404"/>
      <c r="S301" s="3"/>
      <c r="T301" s="3" t="s">
        <v>76</v>
      </c>
      <c r="V301" s="3"/>
      <c r="W301" s="3"/>
      <c r="X301" s="3"/>
      <c r="Y301" s="3"/>
      <c r="AA301" s="1405"/>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c r="I303" s="1404"/>
      <c r="J303" s="1404"/>
      <c r="K303" s="1404"/>
      <c r="L303" s="1404"/>
      <c r="M303" s="1404"/>
      <c r="N303" s="1404"/>
      <c r="O303" s="1404"/>
      <c r="P303" s="1404"/>
      <c r="Q303" s="1404"/>
      <c r="R303" s="1404"/>
      <c r="T303" s="4" t="s">
        <v>891</v>
      </c>
      <c r="V303" s="3"/>
      <c r="W303" s="3"/>
      <c r="X303" s="3"/>
      <c r="Y303" s="3"/>
      <c r="AA303" s="1404" t="s">
        <v>2682</v>
      </c>
      <c r="AB303" s="1404"/>
      <c r="AC303" s="1404"/>
      <c r="AD303" s="1404"/>
      <c r="AE303" s="1404"/>
      <c r="AF303" s="1404"/>
      <c r="AG303" s="1404"/>
      <c r="AH303" s="1404"/>
      <c r="AI303" s="1404"/>
      <c r="AJ303" s="1404"/>
      <c r="AK303" s="1404"/>
      <c r="BN303" s="34"/>
    </row>
    <row r="304" spans="2:66" ht="12.95" customHeight="1">
      <c r="B304" s="3" t="s">
        <v>480</v>
      </c>
      <c r="C304" s="3"/>
      <c r="D304" s="3"/>
      <c r="E304" s="3"/>
      <c r="F304" s="3"/>
      <c r="H304" s="1405"/>
      <c r="I304" s="1405"/>
      <c r="J304" s="1405"/>
      <c r="K304" s="1405"/>
      <c r="L304" s="1405"/>
      <c r="M304" s="1405"/>
      <c r="N304" s="1405"/>
      <c r="O304" s="1405"/>
      <c r="P304" s="1405"/>
      <c r="Q304" s="1405"/>
      <c r="R304" s="1405"/>
      <c r="T304" s="3" t="s">
        <v>480</v>
      </c>
      <c r="V304" s="3"/>
      <c r="W304" s="3"/>
      <c r="X304" s="3"/>
      <c r="Y304" s="3"/>
      <c r="AA304" s="1405" t="s">
        <v>2683</v>
      </c>
      <c r="AB304" s="1405"/>
      <c r="AC304" s="1405"/>
      <c r="AD304" s="1405"/>
      <c r="AE304" s="1405"/>
      <c r="AF304" s="1405"/>
      <c r="AG304" s="1405"/>
      <c r="AH304" s="1405"/>
      <c r="AI304" s="1405"/>
      <c r="AJ304" s="1405"/>
      <c r="AK304" s="1405"/>
      <c r="BN304" s="34"/>
    </row>
    <row r="305" spans="2:66" ht="12.95" customHeight="1">
      <c r="B305" s="3" t="s">
        <v>481</v>
      </c>
      <c r="C305" s="3"/>
      <c r="D305" s="3"/>
      <c r="E305" s="3"/>
      <c r="F305" s="3"/>
      <c r="H305" s="1405"/>
      <c r="I305" s="1405"/>
      <c r="J305" s="1405"/>
      <c r="K305" s="1405"/>
      <c r="L305" s="1405"/>
      <c r="M305" s="1405"/>
      <c r="N305" s="1405"/>
      <c r="O305" s="1405"/>
      <c r="P305" s="1405"/>
      <c r="Q305" s="1405"/>
      <c r="R305" s="1405"/>
      <c r="T305" s="3" t="s">
        <v>75</v>
      </c>
      <c r="V305" s="3"/>
      <c r="W305" s="3"/>
      <c r="X305" s="3"/>
      <c r="Y305" s="3"/>
      <c r="AA305" s="1405" t="s">
        <v>2684</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c r="I306" s="1405"/>
      <c r="J306" s="1405"/>
      <c r="K306" s="1405"/>
      <c r="L306" s="1405"/>
      <c r="M306" s="1405"/>
      <c r="N306" s="1405"/>
      <c r="O306" s="1405"/>
      <c r="P306" s="1405"/>
      <c r="Q306" s="1405"/>
      <c r="R306" s="1405"/>
      <c r="T306" s="3" t="s">
        <v>87</v>
      </c>
      <c r="V306" s="3"/>
      <c r="W306" s="3"/>
      <c r="X306" s="3"/>
      <c r="Y306" s="3"/>
      <c r="AA306" s="1405" t="s">
        <v>2685</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6"/>
      <c r="I307" s="1466"/>
      <c r="J307" s="1466"/>
      <c r="K307" s="1466"/>
      <c r="L307" s="1466"/>
      <c r="M307" s="1466"/>
      <c r="N307" s="4" t="s">
        <v>207</v>
      </c>
      <c r="O307" s="4"/>
      <c r="P307" s="1446"/>
      <c r="Q307" s="1446"/>
      <c r="R307" s="1446"/>
      <c r="S307" s="3"/>
      <c r="T307" s="3" t="s">
        <v>88</v>
      </c>
      <c r="V307" s="3"/>
      <c r="W307" s="3"/>
      <c r="X307" s="3"/>
      <c r="Y307" s="3"/>
      <c r="AA307" s="1465" t="s">
        <v>2686</v>
      </c>
      <c r="AB307" s="1466"/>
      <c r="AC307" s="1466"/>
      <c r="AD307" s="1466"/>
      <c r="AE307" s="1466"/>
      <c r="AF307" s="1466"/>
      <c r="AG307" s="4" t="s">
        <v>207</v>
      </c>
      <c r="AH307" s="4"/>
      <c r="AI307" s="1446"/>
      <c r="AJ307" s="1446"/>
      <c r="AK307" s="1446"/>
      <c r="BN307" s="34"/>
    </row>
    <row r="308" spans="2:66" ht="12.95" customHeight="1">
      <c r="B308" s="3" t="s">
        <v>89</v>
      </c>
      <c r="C308" s="3"/>
      <c r="D308" s="3"/>
      <c r="E308" s="3"/>
      <c r="F308" s="3"/>
      <c r="G308" s="3"/>
      <c r="H308" s="1474"/>
      <c r="I308" s="1474"/>
      <c r="J308" s="1474"/>
      <c r="K308" s="1474"/>
      <c r="L308" s="1474"/>
      <c r="M308" s="1474"/>
      <c r="N308" s="4"/>
      <c r="O308" s="4"/>
      <c r="P308" s="35"/>
      <c r="Q308" s="35"/>
      <c r="R308" s="35"/>
      <c r="S308" s="3"/>
      <c r="T308" s="3" t="s">
        <v>89</v>
      </c>
      <c r="V308" s="3"/>
      <c r="W308" s="3"/>
      <c r="X308" s="3"/>
      <c r="Y308" s="3"/>
      <c r="AA308" s="1685" t="s">
        <v>2687</v>
      </c>
      <c r="AB308" s="1474"/>
      <c r="AC308" s="1474"/>
      <c r="AD308" s="1474"/>
      <c r="AE308" s="1474"/>
      <c r="AF308" s="1474"/>
      <c r="AG308" s="4"/>
      <c r="AH308" s="4"/>
      <c r="AI308" s="35"/>
      <c r="AJ308" s="35"/>
      <c r="AK308" s="35"/>
      <c r="BN308" s="34"/>
    </row>
    <row r="309" spans="2:66" ht="12.95" customHeight="1">
      <c r="B309" s="3" t="s">
        <v>76</v>
      </c>
      <c r="C309" s="3"/>
      <c r="D309" s="3"/>
      <c r="E309" s="3"/>
      <c r="F309" s="3"/>
      <c r="G309" s="3"/>
      <c r="H309" s="1405"/>
      <c r="I309" s="1405"/>
      <c r="J309" s="1405"/>
      <c r="K309" s="1405"/>
      <c r="L309" s="1405"/>
      <c r="M309" s="1405"/>
      <c r="N309" s="1404"/>
      <c r="O309" s="1404"/>
      <c r="P309" s="1404"/>
      <c r="Q309" s="1404"/>
      <c r="R309" s="1404"/>
      <c r="S309" s="3"/>
      <c r="T309" s="3" t="s">
        <v>76</v>
      </c>
      <c r="V309" s="3"/>
      <c r="W309" s="3"/>
      <c r="X309" s="3"/>
      <c r="Y309" s="3"/>
      <c r="AA309" s="1405" t="s">
        <v>2688</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4" t="s">
        <v>2689</v>
      </c>
      <c r="I311" s="1404"/>
      <c r="J311" s="1404"/>
      <c r="K311" s="1404"/>
      <c r="L311" s="1404"/>
      <c r="M311" s="1404"/>
      <c r="N311" s="1404"/>
      <c r="O311" s="1404"/>
      <c r="P311" s="1404"/>
      <c r="Q311" s="1404"/>
      <c r="R311" s="1404"/>
      <c r="S311" s="3"/>
      <c r="T311" s="3" t="s">
        <v>366</v>
      </c>
      <c r="V311" s="3"/>
      <c r="W311" s="3"/>
      <c r="X311" s="3"/>
      <c r="Y311" s="3"/>
      <c r="AA311" s="1404"/>
      <c r="AB311" s="1404"/>
      <c r="AC311" s="1404"/>
      <c r="AD311" s="1404"/>
      <c r="AE311" s="1404"/>
      <c r="AF311" s="1404"/>
      <c r="AG311" s="1404"/>
      <c r="AH311" s="1404"/>
      <c r="AI311" s="1404"/>
      <c r="AJ311" s="1404"/>
      <c r="AK311" s="1404"/>
      <c r="BN311" s="34"/>
    </row>
    <row r="312" spans="2:66" ht="12.95" customHeight="1">
      <c r="B312" s="3" t="s">
        <v>480</v>
      </c>
      <c r="C312" s="3"/>
      <c r="D312" s="3"/>
      <c r="E312" s="3"/>
      <c r="F312" s="3"/>
      <c r="H312" s="1405" t="s">
        <v>2690</v>
      </c>
      <c r="I312" s="1405"/>
      <c r="J312" s="1405"/>
      <c r="K312" s="1405"/>
      <c r="L312" s="1405"/>
      <c r="M312" s="1405"/>
      <c r="N312" s="1405"/>
      <c r="O312" s="1405"/>
      <c r="P312" s="1405"/>
      <c r="Q312" s="1405"/>
      <c r="R312" s="1405"/>
      <c r="S312" s="3"/>
      <c r="T312" s="3" t="s">
        <v>480</v>
      </c>
      <c r="V312" s="3"/>
      <c r="W312" s="3"/>
      <c r="X312" s="3"/>
      <c r="Y312" s="3"/>
      <c r="AA312" s="1405"/>
      <c r="AB312" s="1405"/>
      <c r="AC312" s="1405"/>
      <c r="AD312" s="1405"/>
      <c r="AE312" s="1405"/>
      <c r="AF312" s="1405"/>
      <c r="AG312" s="1405"/>
      <c r="AH312" s="1405"/>
      <c r="AI312" s="1405"/>
      <c r="AJ312" s="1405"/>
      <c r="AK312" s="1405"/>
      <c r="BN312" s="34"/>
    </row>
    <row r="313" spans="2:66" ht="12.95" customHeight="1">
      <c r="B313" s="3" t="s">
        <v>481</v>
      </c>
      <c r="C313" s="3"/>
      <c r="D313" s="3"/>
      <c r="E313" s="3"/>
      <c r="F313" s="3"/>
      <c r="H313" s="1405" t="s">
        <v>2691</v>
      </c>
      <c r="I313" s="1405"/>
      <c r="J313" s="1405"/>
      <c r="K313" s="1405"/>
      <c r="L313" s="1405"/>
      <c r="M313" s="1405"/>
      <c r="N313" s="1405"/>
      <c r="O313" s="1405"/>
      <c r="P313" s="1405"/>
      <c r="Q313" s="1405"/>
      <c r="R313" s="1405"/>
      <c r="S313" s="3"/>
      <c r="T313" s="3" t="s">
        <v>75</v>
      </c>
      <c r="V313" s="3"/>
      <c r="W313" s="3"/>
      <c r="X313" s="3"/>
      <c r="Y313" s="3"/>
      <c r="AA313" s="1405"/>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2692</v>
      </c>
      <c r="I314" s="1405"/>
      <c r="J314" s="1405"/>
      <c r="K314" s="1405"/>
      <c r="L314" s="1405"/>
      <c r="M314" s="1405"/>
      <c r="N314" s="1405"/>
      <c r="O314" s="1405"/>
      <c r="P314" s="1405"/>
      <c r="Q314" s="1405"/>
      <c r="R314" s="1405"/>
      <c r="S314" s="3"/>
      <c r="T314" s="3" t="s">
        <v>87</v>
      </c>
      <c r="V314" s="3"/>
      <c r="W314" s="3"/>
      <c r="X314" s="3"/>
      <c r="Y314" s="3"/>
      <c r="AA314" s="1405"/>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5" t="s">
        <v>2693</v>
      </c>
      <c r="I315" s="1466"/>
      <c r="J315" s="1466"/>
      <c r="K315" s="1466"/>
      <c r="L315" s="1466"/>
      <c r="M315" s="1466"/>
      <c r="N315" s="4" t="s">
        <v>207</v>
      </c>
      <c r="O315" s="4"/>
      <c r="P315" s="1446"/>
      <c r="Q315" s="1446"/>
      <c r="R315" s="1446"/>
      <c r="S315" s="3"/>
      <c r="T315" s="3" t="s">
        <v>88</v>
      </c>
      <c r="V315" s="3"/>
      <c r="W315" s="3"/>
      <c r="X315" s="3"/>
      <c r="Y315" s="3"/>
      <c r="AA315" s="1466"/>
      <c r="AB315" s="1466"/>
      <c r="AC315" s="1466"/>
      <c r="AD315" s="1466"/>
      <c r="AE315" s="1466"/>
      <c r="AF315" s="1466"/>
      <c r="AG315" s="4" t="s">
        <v>207</v>
      </c>
      <c r="AH315" s="4"/>
      <c r="AI315" s="1446"/>
      <c r="AJ315" s="1446"/>
      <c r="AK315" s="1446"/>
      <c r="BN315" s="34"/>
    </row>
    <row r="316" spans="2:66" ht="12.95" customHeight="1">
      <c r="B316" s="3" t="s">
        <v>89</v>
      </c>
      <c r="C316" s="3"/>
      <c r="D316" s="3"/>
      <c r="E316" s="3"/>
      <c r="F316" s="3"/>
      <c r="G316" s="3"/>
      <c r="H316" s="1474"/>
      <c r="I316" s="1474"/>
      <c r="J316" s="1474"/>
      <c r="K316" s="1474"/>
      <c r="L316" s="1474"/>
      <c r="M316" s="1474"/>
      <c r="N316" s="4"/>
      <c r="O316" s="4"/>
      <c r="P316" s="35"/>
      <c r="Q316" s="35"/>
      <c r="R316" s="35"/>
      <c r="S316" s="3"/>
      <c r="T316" s="3" t="s">
        <v>89</v>
      </c>
      <c r="V316" s="3"/>
      <c r="W316" s="3"/>
      <c r="X316" s="3"/>
      <c r="Y316" s="3"/>
      <c r="AA316" s="1474"/>
      <c r="AB316" s="1474"/>
      <c r="AC316" s="1474"/>
      <c r="AD316" s="1474"/>
      <c r="AE316" s="1474"/>
      <c r="AF316" s="1474"/>
      <c r="AG316" s="4"/>
      <c r="AH316" s="4"/>
      <c r="AI316" s="35"/>
      <c r="AJ316" s="35"/>
      <c r="AK316" s="35"/>
      <c r="BN316" s="34"/>
    </row>
    <row r="317" spans="2:66" ht="12.95" customHeight="1">
      <c r="B317" s="3" t="s">
        <v>76</v>
      </c>
      <c r="C317" s="3"/>
      <c r="D317" s="3"/>
      <c r="E317" s="3"/>
      <c r="F317" s="3"/>
      <c r="G317" s="3"/>
      <c r="H317" s="1405" t="s">
        <v>2694</v>
      </c>
      <c r="I317" s="1405"/>
      <c r="J317" s="1405"/>
      <c r="K317" s="1405"/>
      <c r="L317" s="1405"/>
      <c r="M317" s="1405"/>
      <c r="N317" s="1404"/>
      <c r="O317" s="1404"/>
      <c r="P317" s="1404"/>
      <c r="Q317" s="1404"/>
      <c r="R317" s="1404"/>
      <c r="S317" s="3"/>
      <c r="T317" s="3" t="s">
        <v>76</v>
      </c>
      <c r="V317" s="3"/>
      <c r="W317" s="3"/>
      <c r="X317" s="3"/>
      <c r="Y317" s="3"/>
      <c r="AA317" s="1405"/>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924</v>
      </c>
      <c r="C319" s="3"/>
      <c r="D319" s="3"/>
      <c r="E319" s="3"/>
      <c r="F319" s="3"/>
      <c r="H319" s="1404" t="s">
        <v>2695</v>
      </c>
      <c r="I319" s="1404"/>
      <c r="J319" s="1404"/>
      <c r="K319" s="1404"/>
      <c r="L319" s="1404"/>
      <c r="M319" s="1404"/>
      <c r="N319" s="1404"/>
      <c r="O319" s="1404"/>
      <c r="P319" s="1404"/>
      <c r="Q319" s="1404"/>
      <c r="R319" s="1404"/>
      <c r="T319" s="3" t="s">
        <v>367</v>
      </c>
      <c r="V319" s="3"/>
      <c r="W319" s="3"/>
      <c r="X319" s="3"/>
      <c r="Y319" s="3"/>
      <c r="AA319" s="1404" t="s">
        <v>2696</v>
      </c>
      <c r="AB319" s="1404"/>
      <c r="AC319" s="1404"/>
      <c r="AD319" s="1404"/>
      <c r="AE319" s="1404"/>
      <c r="AF319" s="1404"/>
      <c r="AG319" s="1404"/>
      <c r="AH319" s="1404"/>
      <c r="AI319" s="1404"/>
      <c r="AJ319" s="1404"/>
      <c r="AK319" s="1404"/>
      <c r="BN319" s="34"/>
    </row>
    <row r="320" spans="2:66" ht="12.95" customHeight="1">
      <c r="B320" s="3" t="s">
        <v>480</v>
      </c>
      <c r="C320" s="3"/>
      <c r="D320" s="3"/>
      <c r="E320" s="3"/>
      <c r="F320" s="3"/>
      <c r="H320" s="1405" t="s">
        <v>2697</v>
      </c>
      <c r="I320" s="1405"/>
      <c r="J320" s="1405"/>
      <c r="K320" s="1405"/>
      <c r="L320" s="1405"/>
      <c r="M320" s="1405"/>
      <c r="N320" s="1405"/>
      <c r="O320" s="1405"/>
      <c r="P320" s="1405"/>
      <c r="Q320" s="1405"/>
      <c r="R320" s="1405"/>
      <c r="T320" s="3" t="s">
        <v>480</v>
      </c>
      <c r="V320" s="3"/>
      <c r="W320" s="3"/>
      <c r="X320" s="3"/>
      <c r="Y320" s="3"/>
      <c r="AA320" s="1405" t="s">
        <v>2698</v>
      </c>
      <c r="AB320" s="1405"/>
      <c r="AC320" s="1405"/>
      <c r="AD320" s="1405"/>
      <c r="AE320" s="1405"/>
      <c r="AF320" s="1405"/>
      <c r="AG320" s="1405"/>
      <c r="AH320" s="1405"/>
      <c r="AI320" s="1405"/>
      <c r="AJ320" s="1405"/>
      <c r="AK320" s="1405"/>
      <c r="BN320" s="34"/>
    </row>
    <row r="321" spans="2:66" ht="12.95" customHeight="1">
      <c r="B321" s="3" t="s">
        <v>481</v>
      </c>
      <c r="C321" s="3"/>
      <c r="D321" s="3"/>
      <c r="E321" s="3"/>
      <c r="F321" s="3"/>
      <c r="H321" s="1405" t="s">
        <v>2699</v>
      </c>
      <c r="I321" s="1405"/>
      <c r="J321" s="1405"/>
      <c r="K321" s="1405"/>
      <c r="L321" s="1405"/>
      <c r="M321" s="1405"/>
      <c r="N321" s="1405"/>
      <c r="O321" s="1405"/>
      <c r="P321" s="1405"/>
      <c r="Q321" s="1405"/>
      <c r="R321" s="1405"/>
      <c r="T321" s="3" t="s">
        <v>75</v>
      </c>
      <c r="V321" s="3"/>
      <c r="W321" s="3"/>
      <c r="X321" s="3"/>
      <c r="Y321" s="3"/>
      <c r="AA321" s="1405" t="s">
        <v>2700</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t="s">
        <v>2701</v>
      </c>
      <c r="I322" s="1405"/>
      <c r="J322" s="1405"/>
      <c r="K322" s="1405"/>
      <c r="L322" s="1405"/>
      <c r="M322" s="1405"/>
      <c r="N322" s="1405"/>
      <c r="O322" s="1405"/>
      <c r="P322" s="1405"/>
      <c r="Q322" s="1405"/>
      <c r="R322" s="1405"/>
      <c r="T322" s="3" t="s">
        <v>87</v>
      </c>
      <c r="V322" s="3"/>
      <c r="W322" s="3"/>
      <c r="X322" s="3"/>
      <c r="Y322" s="3"/>
      <c r="AA322" s="1405" t="s">
        <v>2702</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5" t="s">
        <v>2703</v>
      </c>
      <c r="I323" s="1466"/>
      <c r="J323" s="1466"/>
      <c r="K323" s="1466"/>
      <c r="L323" s="1466"/>
      <c r="M323" s="1466"/>
      <c r="N323" s="4" t="s">
        <v>207</v>
      </c>
      <c r="O323" s="4"/>
      <c r="P323" s="1446"/>
      <c r="Q323" s="1446"/>
      <c r="R323" s="1446"/>
      <c r="S323" s="3"/>
      <c r="T323" s="3" t="s">
        <v>88</v>
      </c>
      <c r="V323" s="3"/>
      <c r="W323" s="3"/>
      <c r="X323" s="3"/>
      <c r="Y323" s="3"/>
      <c r="AA323" s="1465" t="s">
        <v>2704</v>
      </c>
      <c r="AB323" s="1466"/>
      <c r="AC323" s="1466"/>
      <c r="AD323" s="1466"/>
      <c r="AE323" s="1466"/>
      <c r="AF323" s="1466"/>
      <c r="AG323" s="4" t="s">
        <v>207</v>
      </c>
      <c r="AH323" s="4"/>
      <c r="AI323" s="1446"/>
      <c r="AJ323" s="1446"/>
      <c r="AK323" s="1446"/>
    </row>
    <row r="324" spans="2:66" ht="12.95" customHeight="1">
      <c r="B324" s="3" t="s">
        <v>89</v>
      </c>
      <c r="C324" s="3"/>
      <c r="D324" s="3"/>
      <c r="E324" s="3"/>
      <c r="F324" s="3"/>
      <c r="G324" s="3"/>
      <c r="H324" s="1685" t="s">
        <v>2666</v>
      </c>
      <c r="I324" s="1474"/>
      <c r="J324" s="1474"/>
      <c r="K324" s="1474"/>
      <c r="L324" s="1474"/>
      <c r="M324" s="1474"/>
      <c r="N324" s="4"/>
      <c r="O324" s="4"/>
      <c r="P324" s="35"/>
      <c r="Q324" s="35"/>
      <c r="R324" s="35"/>
      <c r="S324" s="3"/>
      <c r="T324" s="3" t="s">
        <v>89</v>
      </c>
      <c r="V324" s="3"/>
      <c r="W324" s="3"/>
      <c r="X324" s="3"/>
      <c r="Y324" s="3"/>
      <c r="AA324" s="1685" t="s">
        <v>2705</v>
      </c>
      <c r="AB324" s="1474"/>
      <c r="AC324" s="1474"/>
      <c r="AD324" s="1474"/>
      <c r="AE324" s="1474"/>
      <c r="AF324" s="1474"/>
      <c r="AG324" s="4"/>
      <c r="AH324" s="4"/>
      <c r="AI324" s="35"/>
      <c r="AJ324" s="35"/>
      <c r="AK324" s="35"/>
    </row>
    <row r="325" spans="2:66" ht="12.95" customHeight="1">
      <c r="B325" s="3" t="s">
        <v>76</v>
      </c>
      <c r="C325" s="3"/>
      <c r="D325" s="3"/>
      <c r="E325" s="3"/>
      <c r="F325" s="3"/>
      <c r="G325" s="3"/>
      <c r="H325" s="1405" t="s">
        <v>2706</v>
      </c>
      <c r="I325" s="1405"/>
      <c r="J325" s="1405"/>
      <c r="K325" s="1405"/>
      <c r="L325" s="1405"/>
      <c r="M325" s="1405"/>
      <c r="N325" s="1404"/>
      <c r="O325" s="1404"/>
      <c r="P325" s="1404"/>
      <c r="Q325" s="1404"/>
      <c r="R325" s="1404"/>
      <c r="S325" s="3"/>
      <c r="T325" s="3" t="s">
        <v>76</v>
      </c>
      <c r="V325" s="3"/>
      <c r="W325" s="3"/>
      <c r="X325" s="3"/>
      <c r="Y325" s="3"/>
      <c r="AA325" s="1405" t="s">
        <v>2707</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2708</v>
      </c>
      <c r="I327" s="1404"/>
      <c r="J327" s="1404"/>
      <c r="K327" s="1404"/>
      <c r="L327" s="1404"/>
      <c r="M327" s="1404"/>
      <c r="N327" s="1404"/>
      <c r="O327" s="1404"/>
      <c r="P327" s="1404"/>
      <c r="Q327" s="1404"/>
      <c r="R327" s="1404"/>
      <c r="T327" s="3" t="s">
        <v>369</v>
      </c>
      <c r="V327" s="3"/>
      <c r="W327" s="3"/>
      <c r="X327" s="3"/>
      <c r="Y327" s="3"/>
      <c r="AA327" s="1404"/>
      <c r="AB327" s="1404"/>
      <c r="AC327" s="1404"/>
      <c r="AD327" s="1404"/>
      <c r="AE327" s="1404"/>
      <c r="AF327" s="1404"/>
      <c r="AG327" s="1404"/>
      <c r="AH327" s="1404"/>
      <c r="AI327" s="1404"/>
      <c r="AJ327" s="1404"/>
      <c r="AK327" s="1404"/>
    </row>
    <row r="328" spans="2:66" ht="12.95" customHeight="1">
      <c r="B328" s="3" t="s">
        <v>480</v>
      </c>
      <c r="C328" s="3"/>
      <c r="D328" s="3"/>
      <c r="E328" s="3"/>
      <c r="F328" s="3"/>
      <c r="H328" s="1405" t="s">
        <v>2709</v>
      </c>
      <c r="I328" s="1405"/>
      <c r="J328" s="1405"/>
      <c r="K328" s="1405"/>
      <c r="L328" s="1405"/>
      <c r="M328" s="1405"/>
      <c r="N328" s="1405"/>
      <c r="O328" s="1405"/>
      <c r="P328" s="1405"/>
      <c r="Q328" s="1405"/>
      <c r="R328" s="1405"/>
      <c r="T328" s="3" t="s">
        <v>480</v>
      </c>
      <c r="V328" s="3"/>
      <c r="W328" s="3"/>
      <c r="X328" s="3"/>
      <c r="Y328" s="3"/>
      <c r="AA328" s="1405"/>
      <c r="AB328" s="1405"/>
      <c r="AC328" s="1405"/>
      <c r="AD328" s="1405"/>
      <c r="AE328" s="1405"/>
      <c r="AF328" s="1405"/>
      <c r="AG328" s="1405"/>
      <c r="AH328" s="1405"/>
      <c r="AI328" s="1405"/>
      <c r="AJ328" s="1405"/>
      <c r="AK328" s="1405"/>
    </row>
    <row r="329" spans="2:66" ht="12.95" customHeight="1">
      <c r="B329" s="3" t="s">
        <v>481</v>
      </c>
      <c r="C329" s="3"/>
      <c r="D329" s="3"/>
      <c r="E329" s="3"/>
      <c r="F329" s="3"/>
      <c r="H329" s="1405" t="s">
        <v>2710</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t="s">
        <v>2711</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5" t="s">
        <v>2712</v>
      </c>
      <c r="I331" s="1466"/>
      <c r="J331" s="1466"/>
      <c r="K331" s="1466"/>
      <c r="L331" s="1466"/>
      <c r="M331" s="1466"/>
      <c r="N331" s="4" t="s">
        <v>207</v>
      </c>
      <c r="O331" s="4"/>
      <c r="P331" s="1446"/>
      <c r="Q331" s="1446"/>
      <c r="R331" s="1446"/>
      <c r="S331" s="3"/>
      <c r="T331" s="3" t="s">
        <v>88</v>
      </c>
      <c r="V331" s="3"/>
      <c r="W331" s="3"/>
      <c r="X331" s="3"/>
      <c r="Y331" s="3"/>
      <c r="AA331" s="1466"/>
      <c r="AB331" s="1466"/>
      <c r="AC331" s="1466"/>
      <c r="AD331" s="1466"/>
      <c r="AE331" s="1466"/>
      <c r="AF331" s="1466"/>
      <c r="AG331" s="4" t="s">
        <v>207</v>
      </c>
      <c r="AH331" s="4"/>
      <c r="AI331" s="1446"/>
      <c r="AJ331" s="1446"/>
      <c r="AK331" s="1446"/>
    </row>
    <row r="332" spans="2:66" ht="12.95" customHeight="1">
      <c r="B332" s="3" t="s">
        <v>89</v>
      </c>
      <c r="C332" s="3"/>
      <c r="D332" s="3"/>
      <c r="E332" s="3"/>
      <c r="F332" s="3"/>
      <c r="G332" s="3"/>
      <c r="H332" s="1474"/>
      <c r="I332" s="1474"/>
      <c r="J332" s="1474"/>
      <c r="K332" s="1474"/>
      <c r="L332" s="1474"/>
      <c r="M332" s="1474"/>
      <c r="N332" s="4"/>
      <c r="O332" s="4"/>
      <c r="P332" s="35"/>
      <c r="Q332" s="35"/>
      <c r="R332" s="35"/>
      <c r="S332" s="3"/>
      <c r="T332" s="3" t="s">
        <v>89</v>
      </c>
      <c r="V332" s="3"/>
      <c r="W332" s="3"/>
      <c r="X332" s="3"/>
      <c r="Y332" s="3"/>
      <c r="AA332" s="1474"/>
      <c r="AB332" s="1474"/>
      <c r="AC332" s="1474"/>
      <c r="AD332" s="1474"/>
      <c r="AE332" s="1474"/>
      <c r="AF332" s="1474"/>
      <c r="AG332" s="4"/>
      <c r="AH332" s="4"/>
      <c r="AI332" s="35"/>
      <c r="AJ332" s="35"/>
      <c r="AK332" s="35"/>
    </row>
    <row r="333" spans="2:66" ht="12.95" customHeight="1">
      <c r="B333" s="3" t="s">
        <v>76</v>
      </c>
      <c r="C333" s="3"/>
      <c r="D333" s="3"/>
      <c r="E333" s="3"/>
      <c r="F333" s="3"/>
      <c r="G333" s="3"/>
      <c r="H333" s="1405" t="s">
        <v>2713</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4" t="s">
        <v>2714</v>
      </c>
      <c r="I335" s="1404"/>
      <c r="J335" s="1404"/>
      <c r="K335" s="1404"/>
      <c r="L335" s="1404"/>
      <c r="M335" s="1404"/>
      <c r="N335" s="1404"/>
      <c r="O335" s="1404"/>
      <c r="P335" s="1404"/>
      <c r="Q335" s="1404"/>
      <c r="R335" s="1404"/>
      <c r="T335" s="218" t="s">
        <v>900</v>
      </c>
      <c r="V335" s="3"/>
      <c r="W335" s="3"/>
      <c r="X335" s="3"/>
      <c r="Y335" s="3"/>
      <c r="AA335" s="1404" t="s">
        <v>2715</v>
      </c>
      <c r="AB335" s="1404"/>
      <c r="AC335" s="1404"/>
      <c r="AD335" s="1404"/>
      <c r="AE335" s="1404"/>
      <c r="AF335" s="1404"/>
      <c r="AG335" s="1404"/>
      <c r="AH335" s="1404"/>
      <c r="AI335" s="1404"/>
      <c r="AJ335" s="1404"/>
      <c r="AK335" s="1404"/>
    </row>
    <row r="336" spans="2:66" ht="12.95" customHeight="1">
      <c r="B336" s="3" t="s">
        <v>480</v>
      </c>
      <c r="C336" s="3"/>
      <c r="D336" s="3"/>
      <c r="E336" s="3"/>
      <c r="F336" s="3"/>
      <c r="H336" s="1405" t="s">
        <v>2716</v>
      </c>
      <c r="I336" s="1405"/>
      <c r="J336" s="1405"/>
      <c r="K336" s="1405"/>
      <c r="L336" s="1405"/>
      <c r="M336" s="1405"/>
      <c r="N336" s="1405"/>
      <c r="O336" s="1405"/>
      <c r="P336" s="1405"/>
      <c r="Q336" s="1405"/>
      <c r="R336" s="1405"/>
      <c r="T336" s="3" t="s">
        <v>480</v>
      </c>
      <c r="V336" s="3"/>
      <c r="W336" s="3"/>
      <c r="X336" s="3"/>
      <c r="Y336" s="3"/>
      <c r="AA336" s="1405" t="s">
        <v>2720</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2710</v>
      </c>
      <c r="I337" s="1405"/>
      <c r="J337" s="1405"/>
      <c r="K337" s="1405"/>
      <c r="L337" s="1405"/>
      <c r="M337" s="1405"/>
      <c r="N337" s="1405"/>
      <c r="O337" s="1405"/>
      <c r="P337" s="1405"/>
      <c r="Q337" s="1405"/>
      <c r="R337" s="1405"/>
      <c r="T337" s="3" t="s">
        <v>75</v>
      </c>
      <c r="V337" s="3"/>
      <c r="W337" s="3"/>
      <c r="X337" s="3"/>
      <c r="Y337" s="3"/>
      <c r="AA337" s="1405" t="s">
        <v>2721</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2717</v>
      </c>
      <c r="I338" s="1405"/>
      <c r="J338" s="1405"/>
      <c r="K338" s="1405"/>
      <c r="L338" s="1405"/>
      <c r="M338" s="1405"/>
      <c r="N338" s="1405"/>
      <c r="O338" s="1405"/>
      <c r="P338" s="1405"/>
      <c r="Q338" s="1405"/>
      <c r="R338" s="1405"/>
      <c r="T338" s="3" t="s">
        <v>87</v>
      </c>
      <c r="V338" s="3"/>
      <c r="W338" s="3"/>
      <c r="X338" s="3"/>
      <c r="Y338" s="3"/>
      <c r="AA338" s="1405" t="s">
        <v>2722</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5" t="s">
        <v>2718</v>
      </c>
      <c r="I339" s="1466"/>
      <c r="J339" s="1466"/>
      <c r="K339" s="1466"/>
      <c r="L339" s="1466"/>
      <c r="M339" s="1466"/>
      <c r="N339" s="4" t="s">
        <v>207</v>
      </c>
      <c r="O339" s="4"/>
      <c r="P339" s="1446"/>
      <c r="Q339" s="1446"/>
      <c r="R339" s="1446"/>
      <c r="S339" s="3"/>
      <c r="T339" s="3" t="s">
        <v>88</v>
      </c>
      <c r="V339" s="3"/>
      <c r="W339" s="3"/>
      <c r="X339" s="3"/>
      <c r="Y339" s="3"/>
      <c r="AA339" s="1465" t="s">
        <v>2723</v>
      </c>
      <c r="AB339" s="1466"/>
      <c r="AC339" s="1466"/>
      <c r="AD339" s="1466"/>
      <c r="AE339" s="1466"/>
      <c r="AF339" s="1466"/>
      <c r="AG339" s="4" t="s">
        <v>207</v>
      </c>
      <c r="AH339" s="4"/>
      <c r="AI339" s="1446"/>
      <c r="AJ339" s="1446"/>
      <c r="AK339" s="1446"/>
    </row>
    <row r="340" spans="1:66" ht="12.95" customHeight="1">
      <c r="B340" s="3" t="s">
        <v>89</v>
      </c>
      <c r="C340" s="3"/>
      <c r="D340" s="3"/>
      <c r="E340" s="3"/>
      <c r="F340" s="3"/>
      <c r="G340" s="3"/>
      <c r="H340" s="1685" t="s">
        <v>2719</v>
      </c>
      <c r="I340" s="1474"/>
      <c r="J340" s="1474"/>
      <c r="K340" s="1474"/>
      <c r="L340" s="1474"/>
      <c r="M340" s="1474"/>
      <c r="N340" s="4"/>
      <c r="O340" s="4"/>
      <c r="P340" s="35"/>
      <c r="Q340" s="35"/>
      <c r="R340" s="35"/>
      <c r="S340" s="3"/>
      <c r="T340" s="3" t="s">
        <v>89</v>
      </c>
      <c r="V340" s="3"/>
      <c r="W340" s="3"/>
      <c r="X340" s="3"/>
      <c r="Y340" s="3"/>
      <c r="AA340" s="1685" t="s">
        <v>2724</v>
      </c>
      <c r="AB340" s="1474"/>
      <c r="AC340" s="1474"/>
      <c r="AD340" s="1474"/>
      <c r="AE340" s="1474"/>
      <c r="AF340" s="1474"/>
      <c r="AG340" s="4"/>
      <c r="AH340" s="4"/>
      <c r="AI340" s="35"/>
      <c r="AJ340" s="35"/>
      <c r="AK340" s="35"/>
    </row>
    <row r="341" spans="1:66" ht="12.95" customHeight="1">
      <c r="B341" s="3" t="s">
        <v>76</v>
      </c>
      <c r="C341" s="3"/>
      <c r="D341" s="3"/>
      <c r="E341" s="3"/>
      <c r="F341" s="3"/>
      <c r="G341" s="3"/>
      <c r="H341" s="1405" t="s">
        <v>2726</v>
      </c>
      <c r="I341" s="1405"/>
      <c r="J341" s="1405"/>
      <c r="K341" s="1405"/>
      <c r="L341" s="1405"/>
      <c r="M341" s="1405"/>
      <c r="N341" s="1404"/>
      <c r="O341" s="1404"/>
      <c r="P341" s="1404"/>
      <c r="Q341" s="1404"/>
      <c r="R341" s="1404"/>
      <c r="S341" s="3"/>
      <c r="T341" s="3" t="s">
        <v>76</v>
      </c>
      <c r="V341" s="3"/>
      <c r="W341" s="3"/>
      <c r="X341" s="3"/>
      <c r="Y341" s="3"/>
      <c r="AA341" s="1405" t="s">
        <v>2725</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04"/>
      <c r="Q343" s="1404"/>
      <c r="R343" s="1404"/>
      <c r="S343" s="1404"/>
      <c r="T343" s="1404"/>
      <c r="U343" s="1404"/>
      <c r="V343" s="1404"/>
      <c r="W343" s="1404"/>
      <c r="X343" s="1404"/>
      <c r="Y343" s="1404"/>
      <c r="Z343" s="1404"/>
      <c r="AA343" s="1404"/>
      <c r="AB343" s="1404"/>
      <c r="AC343" s="1404"/>
      <c r="AD343" s="1404"/>
      <c r="AE343" s="1404"/>
      <c r="BN343" t="s">
        <v>678</v>
      </c>
    </row>
    <row r="344" spans="1:66" ht="12.95" customHeight="1">
      <c r="B344" s="4"/>
      <c r="C344" s="4"/>
      <c r="D344" s="4"/>
      <c r="E344" s="4"/>
      <c r="F344" s="4"/>
      <c r="I344" s="4" t="s">
        <v>480</v>
      </c>
      <c r="P344" s="1405"/>
      <c r="Q344" s="1405"/>
      <c r="R344" s="1405"/>
      <c r="S344" s="1405"/>
      <c r="T344" s="1405"/>
      <c r="U344" s="1405"/>
      <c r="V344" s="1405"/>
      <c r="W344" s="1405"/>
      <c r="X344" s="1405"/>
      <c r="Y344" s="1405"/>
      <c r="Z344" s="1405"/>
      <c r="AA344" s="1405"/>
      <c r="AB344" s="1405"/>
      <c r="AC344" s="1405"/>
      <c r="AD344" s="1405"/>
      <c r="AE344" s="1405"/>
      <c r="BN344" t="s">
        <v>554</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74"/>
      <c r="Q347" s="1474"/>
      <c r="R347" s="1474"/>
      <c r="S347" s="1474"/>
      <c r="T347" s="1474"/>
      <c r="U347" s="1474"/>
      <c r="V347" s="1474"/>
      <c r="W347" s="1474"/>
      <c r="X347" s="1474"/>
      <c r="Y347" s="1474"/>
      <c r="Z347" s="1474"/>
      <c r="AA347" s="4" t="s">
        <v>207</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74"/>
      <c r="Q348" s="1474"/>
      <c r="R348" s="1474"/>
      <c r="S348" s="1474"/>
      <c r="T348" s="1474"/>
      <c r="U348" s="1474"/>
      <c r="V348" s="1474"/>
      <c r="W348" s="1474"/>
      <c r="X348" s="1474"/>
      <c r="Y348" s="1474"/>
      <c r="Z348" s="147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3" t="s">
        <v>551</v>
      </c>
      <c r="B351" s="1463"/>
      <c r="C351" s="1463"/>
      <c r="D351" s="1463"/>
      <c r="E351" s="1463"/>
      <c r="F351" s="1463"/>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463"/>
      <c r="AM351" s="1463"/>
      <c r="AN351" s="1463"/>
      <c r="AO351" s="1463"/>
      <c r="AP351" s="1463"/>
      <c r="AQ351" s="1463"/>
      <c r="AR351" s="1463"/>
      <c r="AS351" s="1463"/>
      <c r="AT351" s="1463"/>
      <c r="AU351" s="95"/>
      <c r="AV351" s="95"/>
      <c r="AW351" s="95"/>
      <c r="AX351" s="95"/>
      <c r="AY351" s="95"/>
    </row>
    <row r="352" spans="1:66" ht="12.95" customHeight="1">
      <c r="A352" s="1463"/>
      <c r="B352" s="1463"/>
      <c r="C352" s="1463"/>
      <c r="D352" s="1463"/>
      <c r="E352" s="1463"/>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463"/>
      <c r="AM352" s="1463"/>
      <c r="AN352" s="1463"/>
      <c r="AO352" s="1463"/>
      <c r="AP352" s="1463"/>
      <c r="AQ352" s="1463"/>
      <c r="AR352" s="1463"/>
      <c r="AS352" s="1463"/>
      <c r="AT352" s="14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3" t="s">
        <v>554</v>
      </c>
      <c r="N355" s="1403"/>
      <c r="P355" t="s">
        <v>1764</v>
      </c>
      <c r="AJ355" s="1403" t="s">
        <v>678</v>
      </c>
      <c r="AK355" s="1403"/>
    </row>
    <row r="356" spans="1:46" ht="12.95" customHeight="1">
      <c r="D356" s="3" t="s">
        <v>1753</v>
      </c>
      <c r="M356" s="1403" t="s">
        <v>600</v>
      </c>
      <c r="N356" s="1403"/>
      <c r="P356" s="3" t="s">
        <v>1910</v>
      </c>
      <c r="AJ356" s="1451"/>
      <c r="AK356" s="1451"/>
    </row>
    <row r="357" spans="1:46" ht="12.95" customHeight="1">
      <c r="D357" s="3" t="s">
        <v>714</v>
      </c>
      <c r="M357" s="1403" t="s">
        <v>600</v>
      </c>
      <c r="N357" s="1403"/>
      <c r="P357" t="s">
        <v>1763</v>
      </c>
      <c r="AJ357" s="1403" t="s">
        <v>600</v>
      </c>
      <c r="AK357" s="1403"/>
    </row>
    <row r="358" spans="1:46" ht="12.95" customHeight="1">
      <c r="D358" s="3" t="s">
        <v>715</v>
      </c>
      <c r="M358" s="1403" t="s">
        <v>600</v>
      </c>
      <c r="N358" s="140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600</v>
      </c>
      <c r="O363" s="1403"/>
      <c r="P363" s="40"/>
      <c r="Q363" s="40"/>
      <c r="R363" s="40"/>
      <c r="S363" s="40"/>
      <c r="T363" s="40"/>
      <c r="U363" s="40"/>
      <c r="V363" s="40"/>
      <c r="W363" s="40"/>
      <c r="X363" s="40"/>
      <c r="Y363" s="40"/>
      <c r="Z363" s="40"/>
      <c r="AC363" s="40"/>
      <c r="AD363" s="40"/>
      <c r="AE363" s="40"/>
    </row>
    <row r="364" spans="1:46" ht="12.95" customHeight="1">
      <c r="E364" t="s">
        <v>371</v>
      </c>
      <c r="Y364" s="1403" t="s">
        <v>600</v>
      </c>
      <c r="Z364" s="1403"/>
    </row>
    <row r="365" spans="1:46" ht="12.95" customHeight="1">
      <c r="D365" s="4" t="s">
        <v>998</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600</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457</v>
      </c>
      <c r="F370" s="4"/>
      <c r="G370" s="4"/>
      <c r="H370" s="4"/>
      <c r="I370" s="4"/>
      <c r="J370" s="4"/>
      <c r="K370" s="4"/>
      <c r="L370" s="4"/>
      <c r="N370" s="1402"/>
      <c r="O370" s="1402"/>
      <c r="P370" s="1402"/>
      <c r="Q370" s="1402"/>
      <c r="R370" s="4"/>
      <c r="U370" s="4" t="s">
        <v>458</v>
      </c>
      <c r="V370" s="4"/>
      <c r="W370" s="4"/>
      <c r="X370" s="4"/>
      <c r="Y370" s="4"/>
      <c r="Z370" s="4"/>
      <c r="AA370" s="4"/>
      <c r="AB370" s="4"/>
      <c r="AC370" s="1402"/>
      <c r="AD370" s="1402"/>
      <c r="AE370" s="1402"/>
      <c r="AF370" s="1402"/>
    </row>
    <row r="371" spans="1:34" ht="12.95" customHeight="1">
      <c r="E371" s="4" t="s">
        <v>459</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1"/>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0"/>
      <c r="T377" s="1680"/>
      <c r="U377" s="1" t="s">
        <v>307</v>
      </c>
      <c r="V377" s="1680"/>
      <c r="W377" s="1680"/>
      <c r="Y377" t="s">
        <v>2397</v>
      </c>
      <c r="AC377" s="27" t="s">
        <v>306</v>
      </c>
      <c r="AD377" s="1680"/>
      <c r="AE377" s="1680"/>
      <c r="AF377" s="1" t="s">
        <v>307</v>
      </c>
      <c r="AG377" s="1680"/>
      <c r="AH377" s="1680"/>
    </row>
    <row r="378" spans="1:34" ht="12.95" customHeight="1">
      <c r="E378" s="4" t="s">
        <v>1012</v>
      </c>
      <c r="F378" s="4"/>
      <c r="G378" s="4"/>
      <c r="H378" s="4"/>
      <c r="I378" s="4"/>
      <c r="J378" s="4"/>
      <c r="K378" s="4"/>
      <c r="L378" s="4"/>
      <c r="N378" s="1680"/>
      <c r="O378" s="1680"/>
      <c r="P378" s="1680"/>
    </row>
    <row r="379" spans="1:34" ht="12.95" customHeight="1">
      <c r="E379" s="218" t="s">
        <v>2403</v>
      </c>
      <c r="F379" s="4"/>
      <c r="G379" s="4"/>
      <c r="H379" s="4"/>
      <c r="I379" s="4"/>
      <c r="J379" s="4"/>
      <c r="K379" s="4"/>
      <c r="L379" s="4"/>
      <c r="AG379" s="1687" t="s">
        <v>600</v>
      </c>
      <c r="AH379" s="1687"/>
    </row>
    <row r="380" spans="1:34" ht="12.95" customHeight="1">
      <c r="E380" s="4"/>
      <c r="F380" s="4"/>
      <c r="G380" s="4" t="s">
        <v>2404</v>
      </c>
      <c r="H380" s="4"/>
      <c r="I380" s="4"/>
      <c r="J380" s="4"/>
      <c r="K380" s="4"/>
      <c r="L380" s="4"/>
      <c r="AG380" s="1687" t="s">
        <v>600</v>
      </c>
      <c r="AH380" s="1687"/>
    </row>
    <row r="381" spans="1:34" ht="12.95" customHeight="1">
      <c r="E381" s="4"/>
      <c r="F381" s="4"/>
      <c r="G381" s="348" t="s">
        <v>1013</v>
      </c>
      <c r="H381" s="4"/>
      <c r="I381" s="4"/>
      <c r="J381" s="4"/>
      <c r="K381" s="4"/>
      <c r="L381" s="4"/>
      <c r="V381" s="1403" t="s">
        <v>600</v>
      </c>
      <c r="W381" s="1403"/>
      <c r="Y381" s="22" t="s">
        <v>1000</v>
      </c>
    </row>
    <row r="382" spans="1:34" ht="12.95" customHeight="1">
      <c r="E382" s="4" t="s">
        <v>1001</v>
      </c>
      <c r="F382" s="4"/>
      <c r="G382" s="4"/>
      <c r="H382" s="4"/>
      <c r="I382" s="4"/>
      <c r="J382" s="4"/>
      <c r="K382" s="4"/>
      <c r="L382" s="4"/>
      <c r="V382" s="1403" t="s">
        <v>600</v>
      </c>
      <c r="W382" s="1403"/>
      <c r="Y382" s="4" t="s">
        <v>1002</v>
      </c>
    </row>
    <row r="383" spans="1:34" ht="12.95" customHeight="1"/>
    <row r="384" spans="1:34" ht="12.95" customHeight="1">
      <c r="A384" s="2" t="s">
        <v>78</v>
      </c>
      <c r="B384" s="2"/>
    </row>
    <row r="385" spans="4:36" ht="12.95" customHeight="1">
      <c r="D385" t="s">
        <v>429</v>
      </c>
      <c r="J385" s="1404" t="s">
        <v>2727</v>
      </c>
      <c r="K385" s="1404"/>
      <c r="L385" s="1404"/>
      <c r="M385" s="1404"/>
      <c r="N385" s="1404"/>
      <c r="O385" s="1404"/>
      <c r="P385" s="1404"/>
      <c r="Q385" s="1404"/>
      <c r="R385" s="1404"/>
      <c r="S385" s="1404"/>
      <c r="T385" s="1404"/>
      <c r="U385" s="1404"/>
      <c r="V385" s="8" t="s">
        <v>83</v>
      </c>
      <c r="W385" s="8"/>
      <c r="X385" s="8"/>
      <c r="Y385" s="8"/>
      <c r="Z385" s="8"/>
      <c r="AA385" s="8"/>
      <c r="AB385" s="8"/>
      <c r="AC385" s="1404" t="s">
        <v>2640</v>
      </c>
      <c r="AD385" s="1404"/>
      <c r="AE385" s="1404"/>
      <c r="AF385" s="1404"/>
      <c r="AG385" s="1404"/>
      <c r="AH385" s="1404"/>
      <c r="AI385" s="1404"/>
      <c r="AJ385" s="1404"/>
    </row>
    <row r="386" spans="4:36" ht="12.95" customHeight="1">
      <c r="D386" s="3" t="s">
        <v>1289</v>
      </c>
      <c r="J386" s="1405" t="s">
        <v>2728</v>
      </c>
      <c r="K386" s="1405"/>
      <c r="L386" s="1405"/>
      <c r="M386" s="1405"/>
      <c r="N386" s="1405"/>
      <c r="O386" s="1405"/>
      <c r="P386" s="1405"/>
      <c r="Q386" s="1405"/>
      <c r="R386" s="1405"/>
      <c r="S386" s="1405"/>
      <c r="T386" s="1405"/>
      <c r="U386" s="1405"/>
      <c r="V386" s="3" t="s">
        <v>1289</v>
      </c>
      <c r="W386" s="8"/>
      <c r="X386" s="8"/>
      <c r="Y386" s="8"/>
      <c r="Z386" s="8"/>
      <c r="AA386" s="8"/>
      <c r="AB386" s="8"/>
      <c r="AC386" s="1404"/>
      <c r="AD386" s="1404"/>
      <c r="AE386" s="1404"/>
      <c r="AF386" s="1404"/>
      <c r="AG386" s="1404"/>
      <c r="AH386" s="1404"/>
      <c r="AI386" s="1404"/>
      <c r="AJ386" s="1404"/>
    </row>
    <row r="387" spans="4:36" ht="12.95" customHeight="1">
      <c r="D387" s="3" t="s">
        <v>444</v>
      </c>
      <c r="J387" s="1405" t="s">
        <v>2641</v>
      </c>
      <c r="K387" s="1405"/>
      <c r="L387" s="1405"/>
      <c r="M387" s="1405"/>
      <c r="N387" s="1405"/>
      <c r="O387" s="1405"/>
      <c r="P387" s="1405"/>
      <c r="Q387" s="1405"/>
      <c r="R387" s="1405"/>
      <c r="S387" s="1405"/>
      <c r="T387" s="1405"/>
      <c r="U387" s="1405"/>
      <c r="V387" s="3" t="s">
        <v>444</v>
      </c>
      <c r="W387" s="8"/>
      <c r="X387" s="8"/>
      <c r="Y387" s="8"/>
      <c r="Z387" s="8"/>
      <c r="AA387" s="8"/>
      <c r="AB387" s="8"/>
      <c r="AC387" s="1404" t="s">
        <v>2641</v>
      </c>
      <c r="AD387" s="1404"/>
      <c r="AE387" s="1404"/>
      <c r="AF387" s="1404"/>
      <c r="AG387" s="1404"/>
      <c r="AH387" s="1404"/>
      <c r="AI387" s="1404"/>
      <c r="AJ387" s="1404"/>
    </row>
    <row r="388" spans="4:36" ht="12.95" customHeight="1">
      <c r="D388" t="s">
        <v>1285</v>
      </c>
      <c r="J388" s="1434" t="s">
        <v>2729</v>
      </c>
      <c r="K388" s="1434"/>
      <c r="L388" s="1434"/>
      <c r="M388" s="1434"/>
      <c r="N388" s="1434"/>
      <c r="O388" s="1434"/>
      <c r="P388" s="1434"/>
      <c r="Q388" s="1434"/>
      <c r="R388" s="1434"/>
      <c r="S388" s="1434"/>
      <c r="T388" s="1434"/>
      <c r="U388" s="1434"/>
      <c r="V388" s="1404" t="s">
        <v>2671</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86">
        <v>45383</v>
      </c>
      <c r="R389" s="1686"/>
      <c r="S389" s="1686"/>
      <c r="T389" s="1686"/>
      <c r="U389" s="1686"/>
      <c r="V389" t="s">
        <v>310</v>
      </c>
      <c r="AI389" s="1403" t="s">
        <v>678</v>
      </c>
      <c r="AJ389" s="1403"/>
    </row>
    <row r="390" spans="4:36" ht="12.95" customHeight="1">
      <c r="D390" t="s">
        <v>5</v>
      </c>
      <c r="Q390" s="1681">
        <v>46022</v>
      </c>
      <c r="R390" s="1682"/>
      <c r="S390" s="1682"/>
      <c r="T390" s="1682"/>
      <c r="U390" s="1682"/>
      <c r="W390" s="21" t="s">
        <v>74</v>
      </c>
      <c r="AG390" s="1678"/>
      <c r="AH390" s="1678"/>
      <c r="AI390" s="1678"/>
      <c r="AJ390" s="1678"/>
    </row>
    <row r="391" spans="4:36" ht="12.95" customHeight="1">
      <c r="D391" t="s">
        <v>428</v>
      </c>
      <c r="Q391" s="1679">
        <v>2100000</v>
      </c>
      <c r="R391" s="1679"/>
      <c r="S391" s="1679"/>
      <c r="T391" s="1679"/>
      <c r="U391" s="1679"/>
      <c r="V391" s="3" t="s">
        <v>1288</v>
      </c>
      <c r="AG391" s="1824">
        <v>45658</v>
      </c>
      <c r="AH391" s="1824"/>
      <c r="AI391" s="1824"/>
      <c r="AJ391" s="1824"/>
    </row>
    <row r="392" spans="4:36" ht="12.95" customHeight="1">
      <c r="D392" t="s">
        <v>88</v>
      </c>
      <c r="I392" s="1465" t="s">
        <v>2655</v>
      </c>
      <c r="J392" s="1466"/>
      <c r="K392" s="1466"/>
      <c r="L392" s="1466"/>
      <c r="M392" s="1466"/>
      <c r="N392" s="1466"/>
      <c r="Q392" s="4" t="s">
        <v>207</v>
      </c>
      <c r="S392" s="1684">
        <v>204</v>
      </c>
      <c r="T392" s="1684"/>
      <c r="U392" s="1684"/>
      <c r="V392" t="s">
        <v>73</v>
      </c>
      <c r="AI392" s="1403" t="s">
        <v>678</v>
      </c>
      <c r="AJ392" s="1403"/>
    </row>
    <row r="393" spans="4:36" ht="12.95" customHeight="1">
      <c r="D393" t="s">
        <v>311</v>
      </c>
      <c r="Q393" s="1823" t="s">
        <v>600</v>
      </c>
      <c r="R393" s="1437"/>
      <c r="S393" s="1437"/>
      <c r="T393" s="1437"/>
      <c r="U393" s="1437"/>
      <c r="V393" t="s">
        <v>312</v>
      </c>
      <c r="AG393" s="1823" t="s">
        <v>600</v>
      </c>
      <c r="AH393" s="1678"/>
      <c r="AI393" s="1678"/>
      <c r="AJ393" s="1678"/>
    </row>
    <row r="394" spans="4:36" ht="12.95" customHeight="1">
      <c r="D394" t="s">
        <v>313</v>
      </c>
      <c r="Q394" s="1773" t="s">
        <v>600</v>
      </c>
      <c r="R394" s="1774"/>
      <c r="S394" s="1774"/>
      <c r="T394" s="1774"/>
      <c r="U394" s="1774"/>
      <c r="V394" t="s">
        <v>1269</v>
      </c>
      <c r="AG394" s="1678">
        <v>0</v>
      </c>
      <c r="AH394" s="1678"/>
      <c r="AI394" s="1678"/>
      <c r="AJ394" s="1678"/>
    </row>
    <row r="395" spans="4:36" ht="12.95" customHeight="1">
      <c r="D395" t="s">
        <v>1268</v>
      </c>
      <c r="AG395" s="1678">
        <v>0</v>
      </c>
      <c r="AH395" s="1678"/>
      <c r="AI395" s="1678"/>
      <c r="AJ395" s="1678"/>
    </row>
    <row r="396" spans="4:36" ht="12.95" customHeight="1">
      <c r="AG396" s="490"/>
      <c r="AH396" s="490"/>
      <c r="AI396" s="490"/>
      <c r="AJ396" s="490"/>
    </row>
    <row r="397" spans="4:36" ht="12.95" customHeight="1">
      <c r="D397" s="3" t="s">
        <v>2503</v>
      </c>
      <c r="AG397" s="490"/>
      <c r="AH397" s="490"/>
      <c r="AI397" s="1403" t="s">
        <v>678</v>
      </c>
      <c r="AJ397" s="1403"/>
    </row>
    <row r="398" spans="4:36" ht="12.95" customHeight="1">
      <c r="D398" s="3" t="s">
        <v>1782</v>
      </c>
      <c r="T398" s="1780" t="s">
        <v>600</v>
      </c>
      <c r="U398" s="1781"/>
      <c r="V398" s="1781"/>
      <c r="W398" s="1781"/>
      <c r="X398" s="1781"/>
      <c r="Y398" s="1781"/>
      <c r="Z398" s="1781"/>
      <c r="AA398" s="1781"/>
      <c r="AB398" s="1781"/>
      <c r="AC398" s="1781"/>
      <c r="AD398" s="1781"/>
      <c r="AE398" s="1781"/>
      <c r="AF398" s="1781"/>
      <c r="AG398" s="1781"/>
      <c r="AH398" s="1781"/>
      <c r="AI398" s="1781"/>
      <c r="AJ398" s="1781"/>
    </row>
    <row r="399" spans="4:36" ht="12.95" customHeight="1">
      <c r="D399" s="3" t="s">
        <v>1781</v>
      </c>
      <c r="T399" s="1780" t="s">
        <v>600</v>
      </c>
      <c r="U399" s="1781"/>
      <c r="V399" s="1781"/>
      <c r="W399" s="1781"/>
      <c r="X399" s="1781"/>
      <c r="Y399" s="1781"/>
      <c r="Z399" s="1781"/>
      <c r="AA399" s="1781"/>
      <c r="AB399" s="1781"/>
      <c r="AC399" s="1781"/>
      <c r="AD399" s="1781"/>
      <c r="AE399" s="1781"/>
      <c r="AF399" s="1781"/>
      <c r="AG399" s="1781"/>
      <c r="AH399" s="1781"/>
      <c r="AI399" s="1781"/>
      <c r="AJ399" s="1781"/>
    </row>
    <row r="400" spans="4:36" ht="12.95" customHeight="1">
      <c r="AG400" s="490"/>
      <c r="AH400" s="490"/>
      <c r="AI400" s="490"/>
      <c r="AJ400" s="490"/>
    </row>
    <row r="401" spans="1:36" ht="12.95" customHeight="1">
      <c r="D401" s="3" t="s">
        <v>1775</v>
      </c>
      <c r="S401" s="1781" t="s">
        <v>678</v>
      </c>
      <c r="T401" s="1781"/>
      <c r="U401" s="1781"/>
      <c r="V401" t="s">
        <v>1776</v>
      </c>
      <c r="AG401" s="1849"/>
      <c r="AH401" s="1849"/>
      <c r="AI401" s="1849"/>
      <c r="AJ401" s="1849"/>
    </row>
    <row r="402" spans="1:36" ht="12.95" customHeight="1">
      <c r="D402" s="3" t="s">
        <v>1773</v>
      </c>
      <c r="S402" s="1781" t="s">
        <v>600</v>
      </c>
      <c r="T402" s="1781"/>
      <c r="U402" s="1781"/>
      <c r="V402" t="s">
        <v>1778</v>
      </c>
      <c r="AE402" s="1848"/>
      <c r="AF402" s="1848"/>
      <c r="AG402" s="1848"/>
      <c r="AH402" s="1848"/>
      <c r="AI402" s="1848"/>
      <c r="AJ402" s="1848"/>
    </row>
    <row r="403" spans="1:36" ht="12.95" customHeight="1">
      <c r="D403" s="3" t="s">
        <v>1774</v>
      </c>
      <c r="K403" s="1810" t="s">
        <v>600</v>
      </c>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1777</v>
      </c>
      <c r="K404" s="1810" t="s">
        <v>600</v>
      </c>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1780</v>
      </c>
      <c r="E405" s="511"/>
      <c r="F405" s="511"/>
      <c r="G405" s="511"/>
      <c r="H405" s="511"/>
      <c r="I405" s="511"/>
      <c r="J405" s="511"/>
      <c r="K405" s="511"/>
      <c r="L405" s="511"/>
      <c r="M405" s="511"/>
      <c r="N405" s="511"/>
      <c r="O405" s="511"/>
      <c r="P405" s="511"/>
      <c r="Q405" s="511"/>
      <c r="R405" s="511"/>
      <c r="S405" s="1833" t="s">
        <v>1291</v>
      </c>
      <c r="T405" s="1833"/>
      <c r="U405" s="1833"/>
      <c r="V405" s="1833"/>
      <c r="W405" s="1833"/>
      <c r="X405" s="1833"/>
      <c r="Y405" s="1833"/>
      <c r="Z405" s="1833"/>
      <c r="AA405" s="1833"/>
      <c r="AB405" s="1833"/>
      <c r="AC405" s="1833"/>
      <c r="AD405" s="1833"/>
      <c r="AE405" s="1833"/>
      <c r="AF405" s="1833"/>
      <c r="AG405" s="1833"/>
      <c r="AH405" s="1833"/>
      <c r="AI405" s="1833"/>
      <c r="AJ405" s="183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5" t="s">
        <v>2730</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554</v>
      </c>
      <c r="S411" s="1403"/>
      <c r="AC411" s="27" t="s">
        <v>579</v>
      </c>
      <c r="AD411" s="1402">
        <v>2</v>
      </c>
      <c r="AE411" s="1402"/>
    </row>
    <row r="412" spans="1:36" ht="12.95" customHeight="1">
      <c r="E412" t="s">
        <v>107</v>
      </c>
      <c r="R412" s="1403" t="s">
        <v>600</v>
      </c>
      <c r="S412" s="1403"/>
      <c r="AC412" s="27" t="s">
        <v>579</v>
      </c>
      <c r="AD412" s="1402"/>
      <c r="AE412" s="1402"/>
    </row>
    <row r="413" spans="1:36" ht="12.95" customHeight="1">
      <c r="E413" t="s">
        <v>108</v>
      </c>
      <c r="S413" s="1403" t="s">
        <v>600</v>
      </c>
      <c r="T413" s="1403"/>
    </row>
    <row r="414" spans="1:36" ht="12.95" customHeight="1">
      <c r="E414" t="s">
        <v>170</v>
      </c>
      <c r="H414" s="1622" t="s">
        <v>2768</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2.95"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2.95" customHeight="1"/>
    <row r="417" spans="1:39" ht="12.95" customHeight="1">
      <c r="A417" s="2" t="s">
        <v>599</v>
      </c>
      <c r="B417" s="2"/>
      <c r="C417" s="2"/>
      <c r="D417" s="2" t="s">
        <v>114</v>
      </c>
      <c r="AF417" s="2" t="s">
        <v>977</v>
      </c>
    </row>
    <row r="418" spans="1:39" ht="12.95" customHeight="1">
      <c r="E418" s="1680"/>
      <c r="F418" s="1680"/>
      <c r="G418" s="1680"/>
      <c r="H418" s="13" t="s">
        <v>115</v>
      </c>
      <c r="I418" s="1680"/>
      <c r="J418" s="1680"/>
      <c r="K418" s="1680"/>
      <c r="L418" t="s">
        <v>116</v>
      </c>
      <c r="N418" s="27" t="s">
        <v>584</v>
      </c>
      <c r="P418" s="1683">
        <v>5.52</v>
      </c>
      <c r="Q418" s="1683"/>
      <c r="R418" s="1683"/>
      <c r="S418" t="s">
        <v>117</v>
      </c>
      <c r="W418" s="1871">
        <f>IF(E418&gt;0,(E418*I418),(P418*43560))</f>
        <v>240451.19999999998</v>
      </c>
      <c r="X418" s="1871"/>
      <c r="Y418" s="1871"/>
      <c r="Z418" t="s">
        <v>118</v>
      </c>
      <c r="AF418" s="1701">
        <f>IFERROR(IF(P418&gt;0,(AG437/P418),(AG437/(W418/43560))),0)</f>
        <v>18.115942028985508</v>
      </c>
      <c r="AG418" s="1701"/>
      <c r="AH418" s="1701"/>
      <c r="AM418" s="3"/>
    </row>
    <row r="419" spans="1:39" ht="12.95" customHeight="1">
      <c r="E419" t="s">
        <v>51</v>
      </c>
    </row>
    <row r="420" spans="1:39" ht="12.95" customHeight="1">
      <c r="E420" s="1847"/>
      <c r="F420" s="1847"/>
      <c r="G420" s="1847"/>
      <c r="H420" s="1847"/>
      <c r="I420" s="1847"/>
      <c r="J420" s="1847"/>
      <c r="K420" s="1847"/>
      <c r="L420" s="1847"/>
      <c r="M420" s="1847"/>
      <c r="N420" s="1847"/>
      <c r="O420" s="1847"/>
      <c r="P420" s="1847"/>
      <c r="Q420" s="1847"/>
      <c r="R420" s="1847"/>
      <c r="S420" s="1847"/>
      <c r="T420" s="1847"/>
      <c r="U420" s="1847"/>
      <c r="V420" s="1847"/>
      <c r="W420" s="1847"/>
      <c r="X420" s="1847"/>
      <c r="Y420" s="1847"/>
      <c r="Z420" s="1847"/>
      <c r="AA420" s="1847"/>
      <c r="AB420" s="1847"/>
      <c r="AC420" s="1847"/>
      <c r="AD420" s="1847"/>
      <c r="AE420" s="1847"/>
      <c r="AF420" s="1847"/>
      <c r="AG420" s="1847"/>
      <c r="AH420" s="1847"/>
      <c r="AI420" s="1847"/>
      <c r="AJ420" s="1847"/>
    </row>
    <row r="421" spans="1:39" ht="12.95" customHeight="1">
      <c r="E421" s="118" t="s">
        <v>1927</v>
      </c>
      <c r="F421" s="1048"/>
      <c r="G421" s="1048"/>
      <c r="H421" s="1048"/>
      <c r="I421" s="1779">
        <v>5.52</v>
      </c>
      <c r="J421" s="1779"/>
      <c r="K421" s="1779"/>
      <c r="L421" s="1048"/>
      <c r="M421" s="118"/>
      <c r="N421" s="1048"/>
      <c r="O421" s="1048"/>
      <c r="P421" s="1645">
        <f>(CS634+CS642+CS658)/I421</f>
        <v>38.405797101449281</v>
      </c>
      <c r="Q421" s="1645"/>
      <c r="R421" s="1645"/>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3">
        <v>1</v>
      </c>
      <c r="Q424" s="1403"/>
      <c r="S424" t="s">
        <v>190</v>
      </c>
      <c r="AE424" s="1403">
        <v>1</v>
      </c>
      <c r="AF424" s="1403"/>
    </row>
    <row r="425" spans="1:39" ht="12.95" customHeight="1">
      <c r="E425" t="s">
        <v>191</v>
      </c>
      <c r="P425" s="1403">
        <v>2</v>
      </c>
      <c r="Q425" s="1403"/>
      <c r="S425" t="s">
        <v>131</v>
      </c>
      <c r="AE425" s="1403" t="s">
        <v>600</v>
      </c>
      <c r="AF425" s="1403"/>
    </row>
    <row r="426" spans="1:39" ht="12.95" customHeight="1">
      <c r="F426" s="28" t="s">
        <v>132</v>
      </c>
    </row>
    <row r="427" spans="1:39" ht="12.95" customHeight="1">
      <c r="F427" s="1853" t="s">
        <v>2731</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617</v>
      </c>
      <c r="P429" s="1"/>
      <c r="Q429" s="1403" t="s">
        <v>554</v>
      </c>
      <c r="R429" s="1403"/>
    </row>
    <row r="430" spans="1:39" ht="12.95" customHeight="1">
      <c r="F430" t="s">
        <v>618</v>
      </c>
      <c r="P430" s="1"/>
      <c r="Q430" s="1"/>
      <c r="AF430" s="1403" t="s">
        <v>600</v>
      </c>
      <c r="AG430" s="1864"/>
    </row>
    <row r="431" spans="1:39" ht="12.95" customHeight="1"/>
    <row r="432" spans="1:39" ht="12.95" customHeight="1">
      <c r="A432" s="2"/>
      <c r="B432" s="2"/>
      <c r="C432" s="2"/>
      <c r="E432" s="4" t="s">
        <v>309</v>
      </c>
      <c r="Z432" s="1403" t="s">
        <v>678</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5" customHeight="1"/>
    <row r="436" spans="1:110" ht="12.95" customHeight="1">
      <c r="A436" s="2" t="s">
        <v>476</v>
      </c>
      <c r="B436" s="2"/>
      <c r="C436" s="2"/>
      <c r="D436" s="2" t="s">
        <v>774</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50"/>
      <c r="AG437" s="1838">
        <v>100</v>
      </c>
      <c r="AH437" s="1838"/>
      <c r="AI437" s="1838"/>
      <c r="AJ437" s="1838"/>
    </row>
    <row r="438" spans="1:110" ht="12.95" customHeight="1">
      <c r="D438" s="1691" t="s">
        <v>1330</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46">
        <v>0</v>
      </c>
      <c r="AH438" s="1363"/>
      <c r="AI438" s="1363"/>
      <c r="AJ438" s="1363"/>
    </row>
    <row r="439" spans="1:110" ht="12.95" customHeight="1">
      <c r="D439" s="1691" t="s">
        <v>1056</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38">
        <v>99</v>
      </c>
      <c r="AH439" s="1838"/>
      <c r="AI439" s="1838"/>
      <c r="AJ439" s="1838"/>
    </row>
    <row r="440" spans="1:110" ht="12.95" customHeight="1">
      <c r="D440" s="1691" t="s">
        <v>1057</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38">
        <v>99</v>
      </c>
      <c r="AH440" s="1838"/>
      <c r="AI440" s="1838"/>
      <c r="AJ440" s="1838"/>
    </row>
    <row r="441" spans="1:110" ht="12.95" customHeight="1">
      <c r="D441" s="1691" t="s">
        <v>1059</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5">
        <f>IF(ISERROR(AG440/AG439),"",AG440/AG439)</f>
        <v>1</v>
      </c>
      <c r="AH441" s="1845"/>
      <c r="AI441" s="1845"/>
      <c r="AJ441" s="1845"/>
    </row>
    <row r="442" spans="1:110" ht="12.95" customHeight="1">
      <c r="D442" s="1691" t="s">
        <v>1058</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05">
        <v>100019</v>
      </c>
      <c r="AH442" s="1705"/>
      <c r="AI442" s="1705"/>
      <c r="AJ442" s="1705"/>
    </row>
    <row r="443" spans="1:110" ht="12.95" customHeight="1">
      <c r="D443" s="1691" t="s">
        <v>1060</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05">
        <v>100019</v>
      </c>
      <c r="AH443" s="1705"/>
      <c r="AI443" s="1705"/>
      <c r="AJ443" s="1705"/>
    </row>
    <row r="444" spans="1:110" ht="12.95" customHeight="1">
      <c r="D444" s="1691" t="s">
        <v>1061</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5">
        <f>IF(ISERROR(AG443/AG442),"",AG443/AG442)</f>
        <v>1</v>
      </c>
      <c r="AH444" s="1845"/>
      <c r="AI444" s="1845"/>
      <c r="AJ444" s="1845"/>
    </row>
    <row r="445" spans="1:110" ht="12.95" customHeight="1">
      <c r="D445" s="1691" t="s">
        <v>1062</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5">
        <f>MIN(IF(AG441&gt;AG444,AG444,AG441),1)</f>
        <v>1</v>
      </c>
      <c r="AH445" s="1845"/>
      <c r="AI445" s="1845"/>
      <c r="AJ445" s="1845"/>
    </row>
    <row r="446" spans="1:110" ht="12.95" customHeight="1">
      <c r="D446" s="1691"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50"/>
      <c r="AG446" s="1705">
        <v>3934</v>
      </c>
      <c r="AH446" s="1705"/>
      <c r="AI446" s="1705"/>
      <c r="AJ446" s="17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50"/>
      <c r="AG447" s="1705">
        <v>0</v>
      </c>
      <c r="AH447" s="1705"/>
      <c r="AI447" s="1705"/>
      <c r="AJ447" s="17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1"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50"/>
      <c r="AG448" s="1705">
        <f>3530+1287</f>
        <v>4817</v>
      </c>
      <c r="AH448" s="1705"/>
      <c r="AI448" s="1705"/>
      <c r="AJ448" s="17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1"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50"/>
      <c r="AG449" s="1705">
        <v>0</v>
      </c>
      <c r="AH449" s="1705"/>
      <c r="AI449" s="1705"/>
      <c r="AJ449" s="17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8" t="s">
        <v>1064</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65">
        <f>AG442+AG446+AG448+AG449</f>
        <v>108770</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1" t="s">
        <v>1313</v>
      </c>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2"/>
      <c r="E452" s="1822"/>
      <c r="F452" s="1822"/>
      <c r="G452" s="1822"/>
      <c r="H452" s="1822"/>
      <c r="I452" s="1822"/>
      <c r="J452" s="1822"/>
      <c r="K452" s="1822"/>
      <c r="L452" s="1822"/>
      <c r="M452" s="1822"/>
      <c r="N452" s="1822"/>
      <c r="O452" s="1822"/>
      <c r="P452" s="1822"/>
      <c r="Q452" s="1822"/>
      <c r="R452" s="1822"/>
      <c r="S452" s="1822"/>
      <c r="T452" s="1822"/>
      <c r="U452" s="1822"/>
      <c r="V452" s="1822"/>
      <c r="W452" s="1822"/>
      <c r="X452" s="1822"/>
      <c r="Y452" s="1822"/>
      <c r="Z452" s="1822"/>
      <c r="AA452" s="1822"/>
      <c r="AB452" s="1822"/>
      <c r="AC452" s="1822"/>
      <c r="AD452" s="1822"/>
      <c r="AE452" s="1822"/>
      <c r="AF452" s="1822"/>
      <c r="AG452" s="1822"/>
      <c r="AH452" s="1822"/>
      <c r="AI452" s="1822"/>
      <c r="AJ452" s="18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5">
        <f ca="1">IF(AG437=0,"",'Sources and Uses Budget'!B105/Application!AG437)</f>
        <v>768077.41537310998</v>
      </c>
      <c r="AD454" s="1775"/>
      <c r="AE454" s="1775"/>
      <c r="AF454" s="177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5">
        <f ca="1">IF(AG437=0,"",'Sources and Uses Budget'!C105/Application!AG437)</f>
        <v>768077.41537310998</v>
      </c>
      <c r="AD455" s="1775"/>
      <c r="AE455" s="1775"/>
      <c r="AF455" s="177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5">
        <f ca="1">IF(AG437=0,"",('Sources and Uses Budget'!$S$107+'Sources and Uses Budget'!$T$107)/Application!AG437)</f>
        <v>712267.65343381616</v>
      </c>
      <c r="AD456" s="1775"/>
      <c r="AE456" s="1775"/>
      <c r="AF456" s="177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7" t="s">
        <v>2419</v>
      </c>
      <c r="E465" s="1777"/>
      <c r="F465" s="1777"/>
      <c r="G465" s="1777"/>
      <c r="H465" s="1777"/>
      <c r="I465" s="1777"/>
      <c r="J465" s="1777"/>
      <c r="K465" s="1777"/>
      <c r="L465" s="1777"/>
      <c r="M465" s="1777"/>
      <c r="N465" s="1777"/>
      <c r="O465" s="1777"/>
      <c r="P465" s="1777"/>
      <c r="Q465" s="1777"/>
      <c r="R465" s="1777"/>
      <c r="S465" s="1777"/>
      <c r="T465" s="1777"/>
      <c r="U465" s="1777"/>
      <c r="V465" s="1778"/>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6" t="s">
        <v>703</v>
      </c>
      <c r="E466" s="1777"/>
      <c r="F466" s="1777"/>
      <c r="G466" s="1777"/>
      <c r="H466" s="1777"/>
      <c r="I466" s="1777"/>
      <c r="J466" s="1777"/>
      <c r="K466" s="1777"/>
      <c r="L466" s="1777"/>
      <c r="M466" s="1777"/>
      <c r="N466" s="1777"/>
      <c r="O466" s="1777"/>
      <c r="P466" s="1777"/>
      <c r="Q466" s="1777"/>
      <c r="R466" s="1777"/>
      <c r="S466" s="1777"/>
      <c r="T466" s="1777"/>
      <c r="U466" s="1777"/>
      <c r="V466" s="1778"/>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6" t="s">
        <v>704</v>
      </c>
      <c r="E467" s="1777"/>
      <c r="F467" s="1777"/>
      <c r="G467" s="1777"/>
      <c r="H467" s="1777"/>
      <c r="I467" s="1777"/>
      <c r="J467" s="1777"/>
      <c r="K467" s="1777"/>
      <c r="L467" s="1777"/>
      <c r="M467" s="1777"/>
      <c r="N467" s="1777"/>
      <c r="O467" s="1777"/>
      <c r="P467" s="1777"/>
      <c r="Q467" s="1777"/>
      <c r="R467" s="1777"/>
      <c r="S467" s="1777"/>
      <c r="T467" s="1777"/>
      <c r="U467" s="1777"/>
      <c r="V467" s="1778"/>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6" t="s">
        <v>705</v>
      </c>
      <c r="E468" s="1777"/>
      <c r="F468" s="1777"/>
      <c r="G468" s="1777"/>
      <c r="H468" s="1777"/>
      <c r="I468" s="1777"/>
      <c r="J468" s="1777"/>
      <c r="K468" s="1777"/>
      <c r="L468" s="1777"/>
      <c r="M468" s="1777"/>
      <c r="N468" s="1777"/>
      <c r="O468" s="1777"/>
      <c r="P468" s="1777"/>
      <c r="Q468" s="1777"/>
      <c r="R468" s="1777"/>
      <c r="S468" s="1777"/>
      <c r="T468" s="1777"/>
      <c r="U468" s="1777"/>
      <c r="V468" s="1778"/>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6" t="s">
        <v>894</v>
      </c>
      <c r="E469" s="1777"/>
      <c r="F469" s="1777"/>
      <c r="G469" s="1777"/>
      <c r="H469" s="1777"/>
      <c r="I469" s="1777"/>
      <c r="J469" s="1777"/>
      <c r="K469" s="1777"/>
      <c r="L469" s="1777"/>
      <c r="M469" s="1777"/>
      <c r="N469" s="1777"/>
      <c r="O469" s="1777"/>
      <c r="P469" s="1777"/>
      <c r="Q469" s="1777"/>
      <c r="R469" s="1777"/>
      <c r="S469" s="1777"/>
      <c r="T469" s="1777"/>
      <c r="U469" s="1777"/>
      <c r="V469" s="1778"/>
      <c r="W469" s="1694">
        <v>0</v>
      </c>
      <c r="X469" s="1695"/>
      <c r="Y469" s="1696"/>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6" t="s">
        <v>706</v>
      </c>
      <c r="E470" s="1777"/>
      <c r="F470" s="1777"/>
      <c r="G470" s="1777"/>
      <c r="H470" s="1777"/>
      <c r="I470" s="1777"/>
      <c r="J470" s="1777"/>
      <c r="K470" s="1777"/>
      <c r="L470" s="1777"/>
      <c r="M470" s="1777"/>
      <c r="N470" s="1777"/>
      <c r="O470" s="1777"/>
      <c r="P470" s="1777"/>
      <c r="Q470" s="1777"/>
      <c r="R470" s="1777"/>
      <c r="S470" s="1777"/>
      <c r="T470" s="1777"/>
      <c r="U470" s="1777"/>
      <c r="V470" s="1778"/>
      <c r="W470" s="1694">
        <v>26</v>
      </c>
      <c r="X470" s="1695"/>
      <c r="Y470" s="169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6" t="s">
        <v>1037</v>
      </c>
      <c r="E471" s="1777"/>
      <c r="F471" s="1777"/>
      <c r="G471" s="1777"/>
      <c r="H471" s="1777"/>
      <c r="I471" s="1777"/>
      <c r="J471" s="1777"/>
      <c r="K471" s="1777"/>
      <c r="L471" s="1777"/>
      <c r="M471" s="1777"/>
      <c r="N471" s="1777"/>
      <c r="O471" s="1777"/>
      <c r="P471" s="1777"/>
      <c r="Q471" s="1777"/>
      <c r="R471" s="1777"/>
      <c r="S471" s="1777"/>
      <c r="T471" s="1777"/>
      <c r="U471" s="1777"/>
      <c r="V471" s="1778"/>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7" t="s">
        <v>2556</v>
      </c>
      <c r="E472" s="1869"/>
      <c r="F472" s="1869"/>
      <c r="G472" s="1869"/>
      <c r="H472" s="1869"/>
      <c r="I472" s="1869"/>
      <c r="J472" s="1869"/>
      <c r="K472" s="1869"/>
      <c r="L472" s="1869"/>
      <c r="M472" s="1869"/>
      <c r="N472" s="1869"/>
      <c r="O472" s="1869"/>
      <c r="P472" s="1869"/>
      <c r="Q472" s="1869"/>
      <c r="R472" s="1869"/>
      <c r="S472" s="1869"/>
      <c r="T472" s="1869"/>
      <c r="U472" s="1869"/>
      <c r="V472" s="1870"/>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7" t="s">
        <v>1768</v>
      </c>
      <c r="E473" s="1777"/>
      <c r="F473" s="1777"/>
      <c r="G473" s="1777"/>
      <c r="H473" s="1777"/>
      <c r="I473" s="1777"/>
      <c r="J473" s="1777"/>
      <c r="K473" s="1777"/>
      <c r="L473" s="1777"/>
      <c r="M473" s="1777"/>
      <c r="N473" s="1777"/>
      <c r="O473" s="1777"/>
      <c r="P473" s="1777"/>
      <c r="Q473" s="1777"/>
      <c r="R473" s="1777"/>
      <c r="S473" s="1777"/>
      <c r="T473" s="1777"/>
      <c r="U473" s="1777"/>
      <c r="V473" s="1778"/>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0"/>
      <c r="H474" s="1831"/>
      <c r="I474" s="1831"/>
      <c r="J474" s="1831"/>
      <c r="K474" s="1831"/>
      <c r="L474" s="1831"/>
      <c r="M474" s="1831"/>
      <c r="N474" s="1831"/>
      <c r="O474" s="1831"/>
      <c r="P474" s="1831"/>
      <c r="Q474" s="1831"/>
      <c r="R474" s="1831"/>
      <c r="S474" s="1831"/>
      <c r="T474" s="1831"/>
      <c r="U474" s="1831"/>
      <c r="V474" s="1832"/>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3" t="s">
        <v>820</v>
      </c>
      <c r="B480" s="1463"/>
      <c r="C480" s="1463"/>
      <c r="D480" s="1463"/>
      <c r="E480" s="1463"/>
      <c r="F480" s="1463"/>
      <c r="G480" s="1463"/>
      <c r="H480" s="1463"/>
      <c r="I480" s="1463"/>
      <c r="J480" s="1463"/>
      <c r="K480" s="1463"/>
      <c r="L480" s="1463"/>
      <c r="M480" s="1463"/>
      <c r="N480" s="1463"/>
      <c r="O480" s="1463"/>
      <c r="P480" s="1463"/>
      <c r="Q480" s="1463"/>
      <c r="R480" s="1463"/>
      <c r="S480" s="1463"/>
      <c r="T480" s="1463"/>
      <c r="U480" s="1463"/>
      <c r="V480" s="1463"/>
      <c r="W480" s="1463"/>
      <c r="X480" s="1463"/>
      <c r="Y480" s="1463"/>
      <c r="Z480" s="1463"/>
      <c r="AA480" s="1463"/>
      <c r="AB480" s="1463"/>
      <c r="AC480" s="1463"/>
      <c r="AD480" s="1463"/>
      <c r="AE480" s="1463"/>
      <c r="AF480" s="1463"/>
      <c r="AG480" s="1463"/>
      <c r="AH480" s="1463"/>
      <c r="AI480" s="1463"/>
      <c r="AJ480" s="1463"/>
      <c r="AK480" s="1463"/>
      <c r="AL480" s="1463"/>
      <c r="AM480" s="1463"/>
      <c r="AN480" s="1463"/>
      <c r="AO480" s="1463"/>
      <c r="AP480" s="1463"/>
      <c r="AQ480" s="1463"/>
      <c r="AR480" s="1463"/>
      <c r="AS480" s="1463"/>
      <c r="AT480" s="14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3"/>
      <c r="B481" s="1463"/>
      <c r="C481" s="1463"/>
      <c r="D481" s="1463"/>
      <c r="E481" s="1463"/>
      <c r="F481" s="1463"/>
      <c r="G481" s="1463"/>
      <c r="H481" s="1463"/>
      <c r="I481" s="1463"/>
      <c r="J481" s="1463"/>
      <c r="K481" s="1463"/>
      <c r="L481" s="1463"/>
      <c r="M481" s="1463"/>
      <c r="N481" s="1463"/>
      <c r="O481" s="1463"/>
      <c r="P481" s="1463"/>
      <c r="Q481" s="1463"/>
      <c r="R481" s="1463"/>
      <c r="S481" s="1463"/>
      <c r="T481" s="1463"/>
      <c r="U481" s="1463"/>
      <c r="V481" s="1463"/>
      <c r="W481" s="1463"/>
      <c r="X481" s="1463"/>
      <c r="Y481" s="1463"/>
      <c r="Z481" s="1463"/>
      <c r="AA481" s="1463"/>
      <c r="AB481" s="1463"/>
      <c r="AC481" s="1463"/>
      <c r="AD481" s="1463"/>
      <c r="AE481" s="1463"/>
      <c r="AF481" s="1463"/>
      <c r="AG481" s="1463"/>
      <c r="AH481" s="1463"/>
      <c r="AI481" s="1463"/>
      <c r="AJ481" s="1463"/>
      <c r="AK481" s="1463"/>
      <c r="AL481" s="1463"/>
      <c r="AM481" s="1463"/>
      <c r="AN481" s="1463"/>
      <c r="AO481" s="1463"/>
      <c r="AP481" s="1463"/>
      <c r="AQ481" s="1463"/>
      <c r="AR481" s="1463"/>
      <c r="AS481" s="1463"/>
      <c r="AT481" s="14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2" t="s">
        <v>394</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9" t="s">
        <v>2732</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9" t="s">
        <v>2733</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9" t="s">
        <v>2733</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4" t="s">
        <v>398</v>
      </c>
      <c r="C489" s="1855"/>
      <c r="D489" s="1855"/>
      <c r="E489" s="1855"/>
      <c r="F489" s="1855"/>
      <c r="G489" s="1855"/>
      <c r="H489" s="1855"/>
      <c r="I489" s="1855"/>
      <c r="J489" s="1855"/>
      <c r="K489" s="1855"/>
      <c r="L489" s="1855"/>
      <c r="M489" s="1855"/>
      <c r="N489" s="1855"/>
      <c r="O489" s="1855"/>
      <c r="P489" s="1856"/>
      <c r="Q489" s="1860" t="s">
        <v>678</v>
      </c>
      <c r="R489" s="1861"/>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7"/>
      <c r="C490" s="1858"/>
      <c r="D490" s="1858"/>
      <c r="E490" s="1858"/>
      <c r="F490" s="1858"/>
      <c r="G490" s="1858"/>
      <c r="H490" s="1858"/>
      <c r="I490" s="1858"/>
      <c r="J490" s="1858"/>
      <c r="K490" s="1858"/>
      <c r="L490" s="1858"/>
      <c r="M490" s="1858"/>
      <c r="N490" s="1858"/>
      <c r="O490" s="1858"/>
      <c r="P490" s="1859"/>
      <c r="Q490" s="1862"/>
      <c r="R490" s="1863"/>
      <c r="S490" s="1828"/>
      <c r="T490" s="1802"/>
      <c r="U490" s="1802"/>
      <c r="V490" s="1802"/>
      <c r="W490" s="1802"/>
      <c r="X490" s="1802"/>
      <c r="Y490" s="1802"/>
      <c r="Z490" s="1802"/>
      <c r="AA490" s="1802"/>
      <c r="AB490" s="1802"/>
      <c r="AC490" s="1802"/>
      <c r="AD490" s="1802"/>
      <c r="AE490" s="1802"/>
      <c r="AF490" s="1802"/>
      <c r="AG490" s="1802"/>
      <c r="AH490" s="1802"/>
      <c r="AI490" s="1802"/>
      <c r="AJ490" s="1802"/>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6" t="s">
        <v>678</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9" t="s">
        <v>2734</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9">
        <v>1.8</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699">
        <v>187</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0">
        <v>103</v>
      </c>
      <c r="N495" s="1451"/>
      <c r="O495" s="1451"/>
      <c r="P495" s="1452"/>
      <c r="Q495" s="121" t="s">
        <v>1785</v>
      </c>
      <c r="R495" s="5"/>
      <c r="S495" s="5"/>
      <c r="T495" s="5"/>
      <c r="U495" s="5"/>
      <c r="V495" s="5"/>
      <c r="W495" s="5"/>
      <c r="X495" s="5"/>
      <c r="Y495" s="5"/>
      <c r="Z495" s="5"/>
      <c r="AA495" s="5"/>
      <c r="AB495" s="5"/>
      <c r="AC495" s="5"/>
      <c r="AD495" s="5"/>
      <c r="AE495" s="5"/>
      <c r="AF495" s="5"/>
      <c r="AG495" s="5"/>
      <c r="AH495" s="1450">
        <v>84</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2" t="s">
        <v>402</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2" t="s">
        <v>403</v>
      </c>
      <c r="AD500" s="1703"/>
      <c r="AE500" s="1703"/>
      <c r="AF500" s="1703"/>
      <c r="AG500" s="50" t="s">
        <v>404</v>
      </c>
      <c r="AH500" s="1703" t="s">
        <v>405</v>
      </c>
      <c r="AI500" s="1703"/>
      <c r="AJ500" s="1703"/>
      <c r="AK500" s="17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1"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30">
        <v>12</v>
      </c>
      <c r="AD501" s="1402"/>
      <c r="AE501" s="1402"/>
      <c r="AF501" s="1402"/>
      <c r="AG501" s="13" t="s">
        <v>404</v>
      </c>
      <c r="AH501" s="1434">
        <v>2010</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2"/>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30">
        <v>5</v>
      </c>
      <c r="AD502" s="1402"/>
      <c r="AE502" s="1402"/>
      <c r="AF502" s="1402"/>
      <c r="AG502" s="38" t="s">
        <v>404</v>
      </c>
      <c r="AH502" s="1434">
        <v>2007</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1"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30"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2"/>
      <c r="C504" s="1499"/>
      <c r="D504" s="1499"/>
      <c r="E504" s="1499"/>
      <c r="F504" s="1499"/>
      <c r="G504" s="1499"/>
      <c r="H504" s="1500"/>
      <c r="I504" t="s">
        <v>411</v>
      </c>
      <c r="AC504" s="1630"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2"/>
      <c r="C505" s="1499"/>
      <c r="D505" s="1499"/>
      <c r="E505" s="1499"/>
      <c r="F505" s="1499"/>
      <c r="G505" s="1499"/>
      <c r="H505" s="1500"/>
      <c r="I505" t="s">
        <v>412</v>
      </c>
      <c r="AC505" s="1630">
        <v>12</v>
      </c>
      <c r="AD505" s="1402"/>
      <c r="AE505" s="1402"/>
      <c r="AF505" s="1402"/>
      <c r="AG505" s="13" t="s">
        <v>404</v>
      </c>
      <c r="AH505" s="1434">
        <v>2010</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2"/>
      <c r="C506" s="1499"/>
      <c r="D506" s="1499"/>
      <c r="E506" s="1499"/>
      <c r="F506" s="1499"/>
      <c r="G506" s="1499"/>
      <c r="H506" s="1500"/>
      <c r="I506" t="s">
        <v>413</v>
      </c>
      <c r="AC506" s="1630">
        <v>1</v>
      </c>
      <c r="AD506" s="1402"/>
      <c r="AE506" s="1402"/>
      <c r="AF506" s="1402"/>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2"/>
      <c r="C507" s="1499"/>
      <c r="D507" s="1499"/>
      <c r="E507" s="1499"/>
      <c r="F507" s="1499"/>
      <c r="G507" s="1499"/>
      <c r="H507" s="1500"/>
      <c r="I507" s="3" t="s">
        <v>414</v>
      </c>
      <c r="AC507" s="1391">
        <v>1</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2"/>
      <c r="C508" s="1499"/>
      <c r="D508" s="1499"/>
      <c r="E508" s="1499"/>
      <c r="F508" s="1499"/>
      <c r="G508" s="1499"/>
      <c r="H508" s="1500"/>
      <c r="I508" s="931" t="s">
        <v>170</v>
      </c>
      <c r="J508" s="48"/>
      <c r="K508" s="48"/>
      <c r="L508" s="1780" t="s">
        <v>335</v>
      </c>
      <c r="M508" s="1781"/>
      <c r="N508" s="1781"/>
      <c r="O508" s="1781"/>
      <c r="P508" s="1781"/>
      <c r="Q508" s="1781"/>
      <c r="R508" s="1781"/>
      <c r="S508" s="1781"/>
      <c r="T508" s="1781"/>
      <c r="U508" s="1781"/>
      <c r="V508" s="1781"/>
      <c r="W508" s="1781"/>
      <c r="X508" s="1781"/>
      <c r="Y508" s="1781"/>
      <c r="Z508" s="1781"/>
      <c r="AA508" s="1781"/>
      <c r="AB508" s="1834"/>
      <c r="AC508" s="1630"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8" t="s">
        <v>554</v>
      </c>
      <c r="AD509" s="1838"/>
      <c r="AE509" s="1838"/>
      <c r="AF509" s="1838"/>
      <c r="AG509" s="13"/>
      <c r="AH509" s="1303"/>
      <c r="AI509" s="1303"/>
      <c r="AJ509" s="1303"/>
      <c r="AK509" s="18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1">
        <v>1</v>
      </c>
      <c r="AD510" s="1392"/>
      <c r="AE510" s="1392"/>
      <c r="AF510" s="1393"/>
      <c r="AG510" s="13"/>
      <c r="AH510" s="1303"/>
      <c r="AI510" s="1303"/>
      <c r="AJ510" s="1303"/>
      <c r="AK510" s="18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0">
        <v>0.85</v>
      </c>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6" t="s">
        <v>403</v>
      </c>
      <c r="AD513" s="1720"/>
      <c r="AE513" s="1720"/>
      <c r="AF513" s="1720"/>
      <c r="AG513" s="38" t="s">
        <v>404</v>
      </c>
      <c r="AH513" s="1720" t="s">
        <v>405</v>
      </c>
      <c r="AI513" s="1720"/>
      <c r="AJ513" s="1720"/>
      <c r="AK513" s="1839"/>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1"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30">
        <v>4</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2"/>
      <c r="C515" s="1499"/>
      <c r="D515" s="1499"/>
      <c r="E515" s="1499"/>
      <c r="F515" s="1499"/>
      <c r="G515" s="1499"/>
      <c r="H515" s="1500"/>
      <c r="I515" t="s">
        <v>417</v>
      </c>
      <c r="AC515" s="1630">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2"/>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30">
        <v>1</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1"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2"/>
      <c r="C518" s="1499"/>
      <c r="D518" s="1499"/>
      <c r="E518" s="1499"/>
      <c r="F518" s="1499"/>
      <c r="G518" s="1499"/>
      <c r="H518" s="1500"/>
      <c r="I518" t="s">
        <v>417</v>
      </c>
      <c r="AC518" s="1630">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3"/>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30">
        <v>1</v>
      </c>
      <c r="AD519" s="1402"/>
      <c r="AE519" s="1402"/>
      <c r="AF519" s="1402"/>
      <c r="AG519" s="38" t="s">
        <v>404</v>
      </c>
      <c r="AH519" s="1434">
        <v>2025</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1" t="s">
        <v>420</v>
      </c>
      <c r="C520" s="1497"/>
      <c r="D520" s="1497"/>
      <c r="E520" s="1497"/>
      <c r="F520" s="1497"/>
      <c r="G520" s="1497"/>
      <c r="H520" s="1498"/>
      <c r="I520" s="41" t="s">
        <v>421</v>
      </c>
      <c r="J520" s="42"/>
      <c r="K520" s="42"/>
      <c r="L520" s="42"/>
      <c r="M520" s="42"/>
      <c r="N520" s="42"/>
      <c r="O520" s="1780" t="s">
        <v>2747</v>
      </c>
      <c r="P520" s="1781"/>
      <c r="Q520" s="1781"/>
      <c r="R520" s="1781"/>
      <c r="S520" s="1781"/>
      <c r="T520" s="1781"/>
      <c r="U520" s="1781"/>
      <c r="V520" s="1781"/>
      <c r="W520" s="1781"/>
      <c r="X520" s="1781"/>
      <c r="Y520" s="1781"/>
      <c r="Z520" s="1781"/>
      <c r="AA520" s="1781"/>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2"/>
      <c r="C521" s="1499"/>
      <c r="D521" s="1499"/>
      <c r="E521" s="1499"/>
      <c r="F521" s="1499"/>
      <c r="G521" s="1499"/>
      <c r="H521" s="1500"/>
      <c r="I521" s="114" t="s">
        <v>422</v>
      </c>
      <c r="AB521" s="65"/>
      <c r="AC521" s="1630">
        <v>6</v>
      </c>
      <c r="AD521" s="1402"/>
      <c r="AE521" s="1402"/>
      <c r="AF521" s="1402"/>
      <c r="AG521" s="13" t="s">
        <v>404</v>
      </c>
      <c r="AH521" s="1434">
        <v>2022</v>
      </c>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2"/>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30">
        <v>1</v>
      </c>
      <c r="AD522" s="1402"/>
      <c r="AE522" s="1402"/>
      <c r="AF522" s="1402"/>
      <c r="AG522" s="38" t="s">
        <v>404</v>
      </c>
      <c r="AH522" s="1434">
        <v>2023</v>
      </c>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2"/>
      <c r="C523" s="1499"/>
      <c r="D523" s="1499"/>
      <c r="E523" s="1499"/>
      <c r="F523" s="1499"/>
      <c r="G523" s="1499"/>
      <c r="H523" s="1500"/>
      <c r="I523" s="42" t="s">
        <v>424</v>
      </c>
      <c r="J523" s="42"/>
      <c r="K523" s="42"/>
      <c r="L523" s="42"/>
      <c r="M523" s="42"/>
      <c r="N523" s="42"/>
      <c r="O523" s="1780" t="s">
        <v>2748</v>
      </c>
      <c r="P523" s="1781"/>
      <c r="Q523" s="1781"/>
      <c r="R523" s="1781"/>
      <c r="S523" s="1781"/>
      <c r="T523" s="1781"/>
      <c r="U523" s="1781"/>
      <c r="V523" s="1781"/>
      <c r="W523" s="1781"/>
      <c r="X523" s="1781"/>
      <c r="Y523" s="1781"/>
      <c r="Z523" s="1781"/>
      <c r="AA523" s="1781"/>
      <c r="AC523" s="1630"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2"/>
      <c r="C524" s="1499"/>
      <c r="D524" s="1499"/>
      <c r="E524" s="1499"/>
      <c r="F524" s="1499"/>
      <c r="G524" s="1499"/>
      <c r="H524" s="1500"/>
      <c r="I524" t="s">
        <v>422</v>
      </c>
      <c r="AC524" s="1630">
        <v>6</v>
      </c>
      <c r="AD524" s="1402"/>
      <c r="AE524" s="1402"/>
      <c r="AF524" s="1402"/>
      <c r="AG524" s="13" t="s">
        <v>404</v>
      </c>
      <c r="AH524" s="1434">
        <v>2022</v>
      </c>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2"/>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30">
        <v>1</v>
      </c>
      <c r="AD525" s="1402"/>
      <c r="AE525" s="1402"/>
      <c r="AF525" s="1402"/>
      <c r="AG525" s="38" t="s">
        <v>404</v>
      </c>
      <c r="AH525" s="1434">
        <v>2023</v>
      </c>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2"/>
      <c r="C526" s="1499"/>
      <c r="D526" s="1499"/>
      <c r="E526" s="1499"/>
      <c r="F526" s="1499"/>
      <c r="G526" s="1499"/>
      <c r="H526" s="1500"/>
      <c r="I526" s="42" t="s">
        <v>424</v>
      </c>
      <c r="J526" s="42"/>
      <c r="K526" s="42"/>
      <c r="L526" s="42"/>
      <c r="M526" s="42"/>
      <c r="N526" s="42"/>
      <c r="O526" s="1780" t="s">
        <v>2749</v>
      </c>
      <c r="P526" s="1781"/>
      <c r="Q526" s="1781"/>
      <c r="R526" s="1781"/>
      <c r="S526" s="1781"/>
      <c r="T526" s="1781"/>
      <c r="U526" s="1781"/>
      <c r="V526" s="1781"/>
      <c r="W526" s="1781"/>
      <c r="X526" s="1781"/>
      <c r="Y526" s="1781"/>
      <c r="Z526" s="1781"/>
      <c r="AA526" s="1781"/>
      <c r="AC526" s="1630"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2"/>
      <c r="C527" s="1499"/>
      <c r="D527" s="1499"/>
      <c r="E527" s="1499"/>
      <c r="F527" s="1499"/>
      <c r="G527" s="1499"/>
      <c r="H527" s="1500"/>
      <c r="I527" t="s">
        <v>422</v>
      </c>
      <c r="AC527" s="1630">
        <v>4</v>
      </c>
      <c r="AD527" s="1402"/>
      <c r="AE527" s="1402"/>
      <c r="AF527" s="1402"/>
      <c r="AG527" s="13" t="s">
        <v>404</v>
      </c>
      <c r="AH527" s="1434">
        <v>2024</v>
      </c>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2"/>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30">
        <v>8</v>
      </c>
      <c r="AD528" s="1402"/>
      <c r="AE528" s="1402"/>
      <c r="AF528" s="1402"/>
      <c r="AG528" s="38" t="s">
        <v>404</v>
      </c>
      <c r="AH528" s="1434">
        <v>2024</v>
      </c>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2"/>
      <c r="C529" s="1499"/>
      <c r="D529" s="1499"/>
      <c r="E529" s="1499"/>
      <c r="F529" s="1499"/>
      <c r="G529" s="1499"/>
      <c r="H529" s="1500"/>
      <c r="I529" s="42" t="s">
        <v>424</v>
      </c>
      <c r="J529" s="42"/>
      <c r="K529" s="42"/>
      <c r="L529" s="42"/>
      <c r="M529" s="42"/>
      <c r="N529" s="42"/>
      <c r="O529" s="1780" t="s">
        <v>335</v>
      </c>
      <c r="P529" s="1781"/>
      <c r="Q529" s="1781"/>
      <c r="R529" s="1781"/>
      <c r="S529" s="1781"/>
      <c r="T529" s="1781"/>
      <c r="U529" s="1781"/>
      <c r="V529" s="1781"/>
      <c r="W529" s="1781"/>
      <c r="X529" s="1781"/>
      <c r="Y529" s="1781"/>
      <c r="Z529" s="1781"/>
      <c r="AA529" s="1781"/>
      <c r="AC529" s="1630"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2"/>
      <c r="C530" s="1499"/>
      <c r="D530" s="1499"/>
      <c r="E530" s="1499"/>
      <c r="F530" s="1499"/>
      <c r="G530" s="1499"/>
      <c r="H530" s="1500"/>
      <c r="I530" t="s">
        <v>422</v>
      </c>
      <c r="AC530" s="1630"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2"/>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30"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2"/>
      <c r="C532" s="1499"/>
      <c r="D532" s="1499"/>
      <c r="E532" s="1499"/>
      <c r="F532" s="1499"/>
      <c r="G532" s="1499"/>
      <c r="H532" s="1500"/>
      <c r="I532" s="42" t="s">
        <v>424</v>
      </c>
      <c r="J532" s="42"/>
      <c r="K532" s="42"/>
      <c r="L532" s="42"/>
      <c r="M532" s="42"/>
      <c r="N532" s="42"/>
      <c r="O532" s="1780" t="s">
        <v>335</v>
      </c>
      <c r="P532" s="1781"/>
      <c r="Q532" s="1781"/>
      <c r="R532" s="1781"/>
      <c r="S532" s="1781"/>
      <c r="T532" s="1781"/>
      <c r="U532" s="1781"/>
      <c r="V532" s="1781"/>
      <c r="W532" s="1781"/>
      <c r="X532" s="1781"/>
      <c r="Y532" s="1781"/>
      <c r="Z532" s="1781"/>
      <c r="AA532" s="1781"/>
      <c r="AC532" s="1630"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2"/>
      <c r="C533" s="1499"/>
      <c r="D533" s="1499"/>
      <c r="E533" s="1499"/>
      <c r="F533" s="1499"/>
      <c r="G533" s="1499"/>
      <c r="H533" s="1500"/>
      <c r="I533" t="s">
        <v>422</v>
      </c>
      <c r="AC533" s="1630"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2"/>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30"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2"/>
      <c r="C535" s="1499"/>
      <c r="D535" s="1499"/>
      <c r="E535" s="1499"/>
      <c r="F535" s="1499"/>
      <c r="G535" s="1499"/>
      <c r="H535" s="1500"/>
      <c r="I535" s="42" t="s">
        <v>424</v>
      </c>
      <c r="J535" s="42"/>
      <c r="K535" s="42"/>
      <c r="L535" s="42"/>
      <c r="M535" s="42"/>
      <c r="N535" s="42"/>
      <c r="O535" s="1780" t="s">
        <v>335</v>
      </c>
      <c r="P535" s="1781"/>
      <c r="Q535" s="1781"/>
      <c r="R535" s="1781"/>
      <c r="S535" s="1781"/>
      <c r="T535" s="1781"/>
      <c r="U535" s="1781"/>
      <c r="V535" s="1781"/>
      <c r="W535" s="1781"/>
      <c r="X535" s="1781"/>
      <c r="Y535" s="1781"/>
      <c r="Z535" s="1781"/>
      <c r="AA535" s="1781"/>
      <c r="AC535" s="1630"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2"/>
      <c r="C536" s="1499"/>
      <c r="D536" s="1499"/>
      <c r="E536" s="1499"/>
      <c r="F536" s="1499"/>
      <c r="G536" s="1499"/>
      <c r="H536" s="1500"/>
      <c r="I536" t="s">
        <v>422</v>
      </c>
      <c r="AC536" s="1630"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2"/>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30"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2"/>
      <c r="C538" s="1499"/>
      <c r="D538" s="1499"/>
      <c r="E538" s="1499"/>
      <c r="F538" s="1499"/>
      <c r="G538" s="1499"/>
      <c r="H538" s="1500"/>
      <c r="I538" s="42" t="s">
        <v>571</v>
      </c>
      <c r="J538" s="42"/>
      <c r="K538" s="42"/>
      <c r="L538" s="42"/>
      <c r="M538" s="42"/>
      <c r="N538" s="42"/>
      <c r="O538" s="42"/>
      <c r="P538" s="42"/>
      <c r="Q538" s="42"/>
      <c r="R538" s="42"/>
      <c r="S538" s="42"/>
      <c r="T538" s="42"/>
      <c r="U538" s="42"/>
      <c r="V538" s="42"/>
      <c r="W538" s="42"/>
      <c r="AC538" s="1630">
        <v>6</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2"/>
      <c r="C539" s="1499"/>
      <c r="D539" s="1499"/>
      <c r="E539" s="1499"/>
      <c r="F539" s="1499"/>
      <c r="G539" s="1499"/>
      <c r="H539" s="1500"/>
      <c r="I539" t="s">
        <v>572</v>
      </c>
      <c r="AC539" s="1630">
        <v>1</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2"/>
      <c r="C540" s="1499"/>
      <c r="D540" s="1499"/>
      <c r="E540" s="1499"/>
      <c r="F540" s="1499"/>
      <c r="G540" s="1499"/>
      <c r="H540" s="1500"/>
      <c r="I540" t="s">
        <v>573</v>
      </c>
      <c r="AC540" s="1630">
        <v>9</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2"/>
      <c r="C541" s="1499"/>
      <c r="D541" s="1499"/>
      <c r="E541" s="1499"/>
      <c r="F541" s="1499"/>
      <c r="G541" s="1499"/>
      <c r="H541" s="1500"/>
      <c r="I541" t="s">
        <v>574</v>
      </c>
      <c r="AC541" s="1630">
        <v>9</v>
      </c>
      <c r="AD541" s="1402"/>
      <c r="AE541" s="1402"/>
      <c r="AF541" s="1402"/>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3"/>
      <c r="C542" s="1501"/>
      <c r="D542" s="1501"/>
      <c r="E542" s="1501"/>
      <c r="F542" s="1501"/>
      <c r="G542" s="1501"/>
      <c r="H542" s="1502"/>
      <c r="I542" s="48" t="s">
        <v>460</v>
      </c>
      <c r="J542" s="48"/>
      <c r="K542" s="48"/>
      <c r="L542" s="48"/>
      <c r="M542" s="48"/>
      <c r="N542" s="48"/>
      <c r="O542" s="48"/>
      <c r="P542" s="48"/>
      <c r="Q542" s="48"/>
      <c r="R542" s="48"/>
      <c r="S542" s="48"/>
      <c r="T542" s="48"/>
      <c r="U542" s="48"/>
      <c r="V542" s="48"/>
      <c r="W542" s="48"/>
      <c r="X542" s="48"/>
      <c r="Y542" s="48"/>
      <c r="Z542" s="48"/>
      <c r="AA542" s="48"/>
      <c r="AB542" s="48"/>
      <c r="AC542" s="1630">
        <v>11</v>
      </c>
      <c r="AD542" s="1402"/>
      <c r="AE542" s="1402"/>
      <c r="AF542" s="1402"/>
      <c r="AG542" s="38" t="s">
        <v>404</v>
      </c>
      <c r="AH542" s="1434">
        <v>2026</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1" t="s">
        <v>2423</v>
      </c>
      <c r="C551" s="1497"/>
      <c r="D551" s="1497"/>
      <c r="E551" s="1497"/>
      <c r="F551" s="1497"/>
      <c r="G551" s="1497"/>
      <c r="H551" s="1497"/>
      <c r="I551" s="1497"/>
      <c r="J551" s="1497"/>
      <c r="K551" s="1497"/>
      <c r="L551" s="1498"/>
      <c r="M551" s="1631" t="s">
        <v>2424</v>
      </c>
      <c r="N551" s="1497"/>
      <c r="O551" s="1497"/>
      <c r="P551" s="1498"/>
      <c r="Q551" s="1631" t="s">
        <v>2450</v>
      </c>
      <c r="R551" s="1497"/>
      <c r="S551" s="1498"/>
      <c r="T551" s="1631" t="s">
        <v>2451</v>
      </c>
      <c r="U551" s="1497"/>
      <c r="V551" s="1498"/>
      <c r="W551" s="1631" t="s">
        <v>462</v>
      </c>
      <c r="X551" s="1497"/>
      <c r="Y551" s="1498"/>
      <c r="Z551" s="1631" t="s">
        <v>2044</v>
      </c>
      <c r="AA551" s="1497"/>
      <c r="AB551" s="1497"/>
      <c r="AC551" s="1497"/>
      <c r="AD551" s="1498"/>
      <c r="AE551" s="1631" t="s">
        <v>1866</v>
      </c>
      <c r="AF551" s="1497"/>
      <c r="AG551" s="1497"/>
      <c r="AH551" s="1498"/>
      <c r="AI551" s="1631" t="s">
        <v>1867</v>
      </c>
      <c r="AJ551" s="1497"/>
      <c r="AK551" s="1497"/>
      <c r="AL551" s="1498"/>
      <c r="AM551" s="1631" t="s">
        <v>463</v>
      </c>
      <c r="AN551" s="1497"/>
      <c r="AO551" s="1497"/>
      <c r="AP551" s="1497"/>
      <c r="AQ551" s="1497"/>
      <c r="AR551" s="1497"/>
      <c r="AS551" s="149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2"/>
      <c r="C552" s="1499"/>
      <c r="D552" s="1499"/>
      <c r="E552" s="1499"/>
      <c r="F552" s="1499"/>
      <c r="G552" s="1499"/>
      <c r="H552" s="1499"/>
      <c r="I552" s="1499"/>
      <c r="J552" s="1499"/>
      <c r="K552" s="1499"/>
      <c r="L552" s="1500"/>
      <c r="M552" s="1632"/>
      <c r="N552" s="1499"/>
      <c r="O552" s="1499"/>
      <c r="P552" s="1500"/>
      <c r="Q552" s="1632"/>
      <c r="R552" s="1499"/>
      <c r="S552" s="1500"/>
      <c r="T552" s="1632"/>
      <c r="U552" s="1499"/>
      <c r="V552" s="1500"/>
      <c r="W552" s="1632"/>
      <c r="X552" s="1499"/>
      <c r="Y552" s="1500"/>
      <c r="Z552" s="1632"/>
      <c r="AA552" s="1499"/>
      <c r="AB552" s="1499"/>
      <c r="AC552" s="1499"/>
      <c r="AD552" s="1500"/>
      <c r="AE552" s="1632"/>
      <c r="AF552" s="1499"/>
      <c r="AG552" s="1499"/>
      <c r="AH552" s="1500"/>
      <c r="AI552" s="1632"/>
      <c r="AJ552" s="1499"/>
      <c r="AK552" s="1499"/>
      <c r="AL552" s="1500"/>
      <c r="AM552" s="1632"/>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3"/>
      <c r="C553" s="1501"/>
      <c r="D553" s="1501"/>
      <c r="E553" s="1501"/>
      <c r="F553" s="1501"/>
      <c r="G553" s="1501"/>
      <c r="H553" s="1501"/>
      <c r="I553" s="1501"/>
      <c r="J553" s="1501"/>
      <c r="K553" s="1501"/>
      <c r="L553" s="1502"/>
      <c r="M553" s="1633"/>
      <c r="N553" s="1501"/>
      <c r="O553" s="1501"/>
      <c r="P553" s="1502"/>
      <c r="Q553" s="1633"/>
      <c r="R553" s="1501"/>
      <c r="S553" s="1502"/>
      <c r="T553" s="1633"/>
      <c r="U553" s="1501"/>
      <c r="V553" s="1502"/>
      <c r="W553" s="1633"/>
      <c r="X553" s="1501"/>
      <c r="Y553" s="1502"/>
      <c r="Z553" s="1633"/>
      <c r="AA553" s="1501"/>
      <c r="AB553" s="1501"/>
      <c r="AC553" s="1501"/>
      <c r="AD553" s="1502"/>
      <c r="AE553" s="1633"/>
      <c r="AF553" s="1501"/>
      <c r="AG553" s="1501"/>
      <c r="AH553" s="1502"/>
      <c r="AI553" s="1633"/>
      <c r="AJ553" s="1501"/>
      <c r="AK553" s="1501"/>
      <c r="AL553" s="1502"/>
      <c r="AM553" s="1633"/>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4" t="s">
        <v>2735</v>
      </c>
      <c r="D554" s="1634"/>
      <c r="E554" s="1634"/>
      <c r="F554" s="1634"/>
      <c r="G554" s="1634"/>
      <c r="H554" s="1634"/>
      <c r="I554" s="1634"/>
      <c r="J554" s="1634"/>
      <c r="K554" s="1634"/>
      <c r="L554" s="1634"/>
      <c r="M554" s="1634" t="s">
        <v>2440</v>
      </c>
      <c r="N554" s="1634"/>
      <c r="O554" s="1634"/>
      <c r="P554" s="1634"/>
      <c r="Q554" s="1468">
        <v>26</v>
      </c>
      <c r="R554" s="1468"/>
      <c r="S554" s="1469"/>
      <c r="T554" s="1467">
        <v>0</v>
      </c>
      <c r="U554" s="1468"/>
      <c r="V554" s="1469"/>
      <c r="W554" s="1470">
        <f>[1]EVERYTHING!$F$18</f>
        <v>7.6200000000000004E-2</v>
      </c>
      <c r="X554" s="1471"/>
      <c r="Y554" s="1472"/>
      <c r="Z554" s="1698" t="s">
        <v>2772</v>
      </c>
      <c r="AA554" s="1698"/>
      <c r="AB554" s="1698"/>
      <c r="AC554" s="1698"/>
      <c r="AD554" s="1698"/>
      <c r="AE554" s="1627">
        <v>1</v>
      </c>
      <c r="AF554" s="1628"/>
      <c r="AG554" s="1628"/>
      <c r="AH554" s="1629"/>
      <c r="AI554" s="1624"/>
      <c r="AJ554" s="1625"/>
      <c r="AK554" s="1625"/>
      <c r="AL554" s="1626"/>
      <c r="AM554" s="1688">
        <f>[1]EVERYTHING!$B$18</f>
        <v>39987612.11214298</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2735</v>
      </c>
      <c r="D555" s="1697"/>
      <c r="E555" s="1697"/>
      <c r="F555" s="1697"/>
      <c r="G555" s="1697"/>
      <c r="H555" s="1697"/>
      <c r="I555" s="1697"/>
      <c r="J555" s="1697"/>
      <c r="K555" s="1697"/>
      <c r="L555" s="1697"/>
      <c r="M555" s="1634" t="s">
        <v>2439</v>
      </c>
      <c r="N555" s="1634"/>
      <c r="O555" s="1634"/>
      <c r="P555" s="1634"/>
      <c r="Q555" s="1467">
        <v>26</v>
      </c>
      <c r="R555" s="1468"/>
      <c r="S555" s="1469"/>
      <c r="T555" s="1467">
        <v>0</v>
      </c>
      <c r="U555" s="1468"/>
      <c r="V555" s="1469"/>
      <c r="W555" s="1470">
        <f>W554</f>
        <v>7.6200000000000004E-2</v>
      </c>
      <c r="X555" s="1471"/>
      <c r="Y555" s="1472"/>
      <c r="Z555" s="1698" t="s">
        <v>2772</v>
      </c>
      <c r="AA555" s="1698"/>
      <c r="AB555" s="1698"/>
      <c r="AC555" s="1698"/>
      <c r="AD555" s="1698"/>
      <c r="AE555" s="1627">
        <v>1</v>
      </c>
      <c r="AF555" s="1628"/>
      <c r="AG555" s="1628"/>
      <c r="AH555" s="1629"/>
      <c r="AI555" s="1624"/>
      <c r="AJ555" s="1625"/>
      <c r="AK555" s="1625"/>
      <c r="AL555" s="1626"/>
      <c r="AM555" s="1688">
        <f>[1]EVERYTHING!$B$19</f>
        <v>20199225.572605595</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2736</v>
      </c>
      <c r="D556" s="1697"/>
      <c r="E556" s="1697"/>
      <c r="F556" s="1697"/>
      <c r="G556" s="1697"/>
      <c r="H556" s="1697"/>
      <c r="I556" s="1697"/>
      <c r="J556" s="1697"/>
      <c r="K556" s="1697"/>
      <c r="L556" s="1697"/>
      <c r="M556" s="1634" t="s">
        <v>2436</v>
      </c>
      <c r="N556" s="1634"/>
      <c r="O556" s="1634"/>
      <c r="P556" s="1634"/>
      <c r="Q556" s="1467">
        <v>660</v>
      </c>
      <c r="R556" s="1468"/>
      <c r="S556" s="1469"/>
      <c r="T556" s="1467">
        <v>0</v>
      </c>
      <c r="U556" s="1468"/>
      <c r="V556" s="1469"/>
      <c r="W556" s="1470">
        <v>0.03</v>
      </c>
      <c r="X556" s="1471"/>
      <c r="Y556" s="1472"/>
      <c r="Z556" s="1698" t="s">
        <v>2750</v>
      </c>
      <c r="AA556" s="1698"/>
      <c r="AB556" s="1698"/>
      <c r="AC556" s="1698"/>
      <c r="AD556" s="1698"/>
      <c r="AE556" s="1627">
        <v>2</v>
      </c>
      <c r="AF556" s="1628"/>
      <c r="AG556" s="1628"/>
      <c r="AH556" s="1629"/>
      <c r="AI556" s="1624"/>
      <c r="AJ556" s="1625"/>
      <c r="AK556" s="1625"/>
      <c r="AL556" s="1626"/>
      <c r="AM556" s="1688">
        <f>[1]EVERYTHING!$C$8</f>
        <v>6612672</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7" t="s">
        <v>2789</v>
      </c>
      <c r="D557" s="1697"/>
      <c r="E557" s="1697"/>
      <c r="F557" s="1697"/>
      <c r="G557" s="1697"/>
      <c r="H557" s="1697"/>
      <c r="I557" s="1697"/>
      <c r="J557" s="1697"/>
      <c r="K557" s="1697"/>
      <c r="L557" s="1697"/>
      <c r="M557" s="1634" t="s">
        <v>2431</v>
      </c>
      <c r="N557" s="1634"/>
      <c r="O557" s="1634"/>
      <c r="P557" s="1634"/>
      <c r="Q557" s="1467"/>
      <c r="R557" s="1468"/>
      <c r="S557" s="1469"/>
      <c r="T557" s="1467"/>
      <c r="U557" s="1468"/>
      <c r="V557" s="1469"/>
      <c r="W557" s="1470"/>
      <c r="X557" s="1471"/>
      <c r="Y557" s="1472"/>
      <c r="Z557" s="1698" t="s">
        <v>1291</v>
      </c>
      <c r="AA557" s="1698"/>
      <c r="AB557" s="1698"/>
      <c r="AC557" s="1698"/>
      <c r="AD557" s="1698"/>
      <c r="AE557" s="1627"/>
      <c r="AF557" s="1628"/>
      <c r="AG557" s="1628"/>
      <c r="AH557" s="1629"/>
      <c r="AI557" s="1624"/>
      <c r="AJ557" s="1625"/>
      <c r="AK557" s="1625"/>
      <c r="AL557" s="1626"/>
      <c r="AM557" s="1688">
        <f>[1]EVERYTHING!$C$14*0.1</f>
        <v>4430291.9537311001</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7" t="s">
        <v>2773</v>
      </c>
      <c r="D558" s="1697"/>
      <c r="E558" s="1697"/>
      <c r="F558" s="1697"/>
      <c r="G558" s="1697"/>
      <c r="H558" s="1697"/>
      <c r="I558" s="1697"/>
      <c r="J558" s="1697"/>
      <c r="K558" s="1697"/>
      <c r="L558" s="1697"/>
      <c r="M558" s="1634" t="s">
        <v>2430</v>
      </c>
      <c r="N558" s="1634"/>
      <c r="O558" s="1634"/>
      <c r="P558" s="1634"/>
      <c r="Q558" s="1467"/>
      <c r="R558" s="1468"/>
      <c r="S558" s="1469"/>
      <c r="T558" s="1467"/>
      <c r="U558" s="1468"/>
      <c r="V558" s="1469"/>
      <c r="W558" s="1470"/>
      <c r="X558" s="1471"/>
      <c r="Y558" s="1472"/>
      <c r="Z558" s="1698" t="s">
        <v>1291</v>
      </c>
      <c r="AA558" s="1698"/>
      <c r="AB558" s="1698"/>
      <c r="AC558" s="1698"/>
      <c r="AD558" s="1698"/>
      <c r="AE558" s="1627"/>
      <c r="AF558" s="1628"/>
      <c r="AG558" s="1628"/>
      <c r="AH558" s="1629"/>
      <c r="AI558" s="1624"/>
      <c r="AJ558" s="1625"/>
      <c r="AK558" s="1625"/>
      <c r="AL558" s="1626"/>
      <c r="AM558" s="1688">
        <f>[1]EVERYTHING!$C$13</f>
        <v>1000000</v>
      </c>
      <c r="AN558" s="1689"/>
      <c r="AO558" s="1689"/>
      <c r="AP558" s="1689"/>
      <c r="AQ558" s="1689"/>
      <c r="AR558" s="1689"/>
      <c r="AS558" s="1690"/>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7"/>
      <c r="D559" s="1697"/>
      <c r="E559" s="1697"/>
      <c r="F559" s="1697"/>
      <c r="G559" s="1697"/>
      <c r="H559" s="1697"/>
      <c r="I559" s="1697"/>
      <c r="J559" s="1697"/>
      <c r="K559" s="1697"/>
      <c r="L559" s="1697"/>
      <c r="M559" s="1634" t="s">
        <v>1291</v>
      </c>
      <c r="N559" s="1634"/>
      <c r="O559" s="1634"/>
      <c r="P559" s="1634"/>
      <c r="Q559" s="1467"/>
      <c r="R559" s="1468"/>
      <c r="S559" s="1469"/>
      <c r="T559" s="1467"/>
      <c r="U559" s="1468"/>
      <c r="V559" s="1469"/>
      <c r="W559" s="1470"/>
      <c r="X559" s="1471"/>
      <c r="Y559" s="1472"/>
      <c r="Z559" s="1698" t="s">
        <v>1291</v>
      </c>
      <c r="AA559" s="1698"/>
      <c r="AB559" s="1698"/>
      <c r="AC559" s="1698"/>
      <c r="AD559" s="1698"/>
      <c r="AE559" s="1627"/>
      <c r="AF559" s="1628"/>
      <c r="AG559" s="1628"/>
      <c r="AH559" s="1629"/>
      <c r="AI559" s="1624"/>
      <c r="AJ559" s="1625"/>
      <c r="AK559" s="1625"/>
      <c r="AL559" s="1626"/>
      <c r="AM559" s="1688"/>
      <c r="AN559" s="1689"/>
      <c r="AO559" s="1689"/>
      <c r="AP559" s="1689"/>
      <c r="AQ559" s="1689"/>
      <c r="AR559" s="1689"/>
      <c r="AS559" s="1690"/>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7"/>
      <c r="D560" s="1697"/>
      <c r="E560" s="1697"/>
      <c r="F560" s="1697"/>
      <c r="G560" s="1697"/>
      <c r="H560" s="1697"/>
      <c r="I560" s="1697"/>
      <c r="J560" s="1697"/>
      <c r="K560" s="1697"/>
      <c r="L560" s="1697"/>
      <c r="M560" s="1634" t="s">
        <v>1291</v>
      </c>
      <c r="N560" s="1634"/>
      <c r="O560" s="1634"/>
      <c r="P560" s="1634"/>
      <c r="Q560" s="1467"/>
      <c r="R560" s="1468"/>
      <c r="S560" s="1469"/>
      <c r="T560" s="1467"/>
      <c r="U560" s="1468"/>
      <c r="V560" s="1469"/>
      <c r="W560" s="1470"/>
      <c r="X560" s="1471"/>
      <c r="Y560" s="1472"/>
      <c r="Z560" s="1698" t="s">
        <v>1291</v>
      </c>
      <c r="AA560" s="1698"/>
      <c r="AB560" s="1698"/>
      <c r="AC560" s="1698"/>
      <c r="AD560" s="1698"/>
      <c r="AE560" s="1627"/>
      <c r="AF560" s="1628"/>
      <c r="AG560" s="1628"/>
      <c r="AH560" s="1629"/>
      <c r="AI560" s="1624"/>
      <c r="AJ560" s="1625"/>
      <c r="AK560" s="1625"/>
      <c r="AL560" s="1626"/>
      <c r="AM560" s="1688"/>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7"/>
      <c r="D561" s="1697"/>
      <c r="E561" s="1697"/>
      <c r="F561" s="1697"/>
      <c r="G561" s="1697"/>
      <c r="H561" s="1697"/>
      <c r="I561" s="1697"/>
      <c r="J561" s="1697"/>
      <c r="K561" s="1697"/>
      <c r="L561" s="1697"/>
      <c r="M561" s="1634" t="s">
        <v>1291</v>
      </c>
      <c r="N561" s="1634"/>
      <c r="O561" s="1634"/>
      <c r="P561" s="1634"/>
      <c r="Q561" s="1467"/>
      <c r="R561" s="1468"/>
      <c r="S561" s="1469"/>
      <c r="T561" s="1467"/>
      <c r="U561" s="1468"/>
      <c r="V561" s="1469"/>
      <c r="W561" s="1470"/>
      <c r="X561" s="1471"/>
      <c r="Y561" s="1472"/>
      <c r="Z561" s="1698" t="s">
        <v>1291</v>
      </c>
      <c r="AA561" s="1698"/>
      <c r="AB561" s="1698"/>
      <c r="AC561" s="1698"/>
      <c r="AD561" s="1698"/>
      <c r="AE561" s="1627"/>
      <c r="AF561" s="1628"/>
      <c r="AG561" s="1628"/>
      <c r="AH561" s="1629"/>
      <c r="AI561" s="1624"/>
      <c r="AJ561" s="1625"/>
      <c r="AK561" s="1625"/>
      <c r="AL561" s="1626"/>
      <c r="AM561" s="1688"/>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7"/>
      <c r="D562" s="1697"/>
      <c r="E562" s="1697"/>
      <c r="F562" s="1697"/>
      <c r="G562" s="1697"/>
      <c r="H562" s="1697"/>
      <c r="I562" s="1697"/>
      <c r="J562" s="1697"/>
      <c r="K562" s="1697"/>
      <c r="L562" s="1697"/>
      <c r="M562" s="1634" t="s">
        <v>1291</v>
      </c>
      <c r="N562" s="1634"/>
      <c r="O562" s="1634"/>
      <c r="P562" s="1634"/>
      <c r="Q562" s="1467"/>
      <c r="R562" s="1468"/>
      <c r="S562" s="1469"/>
      <c r="T562" s="1467"/>
      <c r="U562" s="1468"/>
      <c r="V562" s="1469"/>
      <c r="W562" s="1470"/>
      <c r="X562" s="1471"/>
      <c r="Y562" s="1472"/>
      <c r="Z562" s="1698" t="s">
        <v>1291</v>
      </c>
      <c r="AA562" s="1698"/>
      <c r="AB562" s="1698"/>
      <c r="AC562" s="1698"/>
      <c r="AD562" s="1698"/>
      <c r="AE562" s="1627"/>
      <c r="AF562" s="1628"/>
      <c r="AG562" s="1628"/>
      <c r="AH562" s="1629"/>
      <c r="AI562" s="1624"/>
      <c r="AJ562" s="1625"/>
      <c r="AK562" s="1625"/>
      <c r="AL562" s="1626"/>
      <c r="AM562" s="1688"/>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7"/>
      <c r="D563" s="1697"/>
      <c r="E563" s="1697"/>
      <c r="F563" s="1697"/>
      <c r="G563" s="1697"/>
      <c r="H563" s="1697"/>
      <c r="I563" s="1697"/>
      <c r="J563" s="1697"/>
      <c r="K563" s="1697"/>
      <c r="L563" s="1697"/>
      <c r="M563" s="1634" t="s">
        <v>1291</v>
      </c>
      <c r="N563" s="1634"/>
      <c r="O563" s="1634"/>
      <c r="P563" s="1634"/>
      <c r="Q563" s="1467"/>
      <c r="R563" s="1468"/>
      <c r="S563" s="1469"/>
      <c r="T563" s="1467"/>
      <c r="U563" s="1468"/>
      <c r="V563" s="1469"/>
      <c r="W563" s="1470"/>
      <c r="X563" s="1471"/>
      <c r="Y563" s="1472"/>
      <c r="Z563" s="1698" t="s">
        <v>1291</v>
      </c>
      <c r="AA563" s="1698"/>
      <c r="AB563" s="1698"/>
      <c r="AC563" s="1698"/>
      <c r="AD563" s="1698"/>
      <c r="AE563" s="1627"/>
      <c r="AF563" s="1628"/>
      <c r="AG563" s="1628"/>
      <c r="AH563" s="1629"/>
      <c r="AI563" s="1624"/>
      <c r="AJ563" s="1625"/>
      <c r="AK563" s="1625"/>
      <c r="AL563" s="1626"/>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7"/>
      <c r="D564" s="1697"/>
      <c r="E564" s="1697"/>
      <c r="F564" s="1697"/>
      <c r="G564" s="1697"/>
      <c r="H564" s="1697"/>
      <c r="I564" s="1697"/>
      <c r="J564" s="1697"/>
      <c r="K564" s="1697"/>
      <c r="L564" s="1697"/>
      <c r="M564" s="1634" t="s">
        <v>1291</v>
      </c>
      <c r="N564" s="1634"/>
      <c r="O564" s="1634"/>
      <c r="P564" s="1634"/>
      <c r="Q564" s="1467"/>
      <c r="R564" s="1468"/>
      <c r="S564" s="1469"/>
      <c r="T564" s="1467"/>
      <c r="U564" s="1468"/>
      <c r="V564" s="1469"/>
      <c r="W564" s="1470"/>
      <c r="X564" s="1471"/>
      <c r="Y564" s="1472"/>
      <c r="Z564" s="1698" t="s">
        <v>1291</v>
      </c>
      <c r="AA564" s="1698"/>
      <c r="AB564" s="1698"/>
      <c r="AC564" s="1698"/>
      <c r="AD564" s="1698"/>
      <c r="AE564" s="1627"/>
      <c r="AF564" s="1628"/>
      <c r="AG564" s="1628"/>
      <c r="AH564" s="1629"/>
      <c r="AI564" s="1624"/>
      <c r="AJ564" s="1625"/>
      <c r="AK564" s="1625"/>
      <c r="AL564" s="1626"/>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7"/>
      <c r="D565" s="1697"/>
      <c r="E565" s="1697"/>
      <c r="F565" s="1697"/>
      <c r="G565" s="1697"/>
      <c r="H565" s="1697"/>
      <c r="I565" s="1697"/>
      <c r="J565" s="1697"/>
      <c r="K565" s="1697"/>
      <c r="L565" s="1697"/>
      <c r="M565" s="1634" t="s">
        <v>1291</v>
      </c>
      <c r="N565" s="1634"/>
      <c r="O565" s="1634"/>
      <c r="P565" s="1634"/>
      <c r="Q565" s="1467"/>
      <c r="R565" s="1468"/>
      <c r="S565" s="1469"/>
      <c r="T565" s="1467"/>
      <c r="U565" s="1468"/>
      <c r="V565" s="1469"/>
      <c r="W565" s="1470"/>
      <c r="X565" s="1471"/>
      <c r="Y565" s="1472"/>
      <c r="Z565" s="1698" t="s">
        <v>1291</v>
      </c>
      <c r="AA565" s="1698"/>
      <c r="AB565" s="1698"/>
      <c r="AC565" s="1698"/>
      <c r="AD565" s="1698"/>
      <c r="AE565" s="1627"/>
      <c r="AF565" s="1628"/>
      <c r="AG565" s="1628"/>
      <c r="AH565" s="1629"/>
      <c r="AI565" s="1624"/>
      <c r="AJ565" s="1625"/>
      <c r="AK565" s="1625"/>
      <c r="AL565" s="1626"/>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6"/>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72229801.63847968</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 xml:space="preserve">Bank of America N.A. </v>
      </c>
      <c r="H568" s="1449"/>
      <c r="I568" s="1449"/>
      <c r="J568" s="1449"/>
      <c r="K568" s="1449"/>
      <c r="L568" s="1449"/>
      <c r="M568" s="1449"/>
      <c r="N568" s="1449"/>
      <c r="O568" s="1449"/>
      <c r="P568" s="1449"/>
      <c r="Q568" s="1449"/>
      <c r="R568" s="1449"/>
      <c r="S568" s="8"/>
      <c r="T568" s="55" t="s">
        <v>113</v>
      </c>
      <c r="U568" t="s">
        <v>472</v>
      </c>
      <c r="Z568" s="1449" t="str">
        <f>C555</f>
        <v xml:space="preserve">Bank of America N.A. </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2751</v>
      </c>
      <c r="H569" s="1404"/>
      <c r="I569" s="1404"/>
      <c r="J569" s="1404"/>
      <c r="K569" s="1404"/>
      <c r="L569" s="1404"/>
      <c r="M569" s="1404"/>
      <c r="N569" s="1404"/>
      <c r="O569" s="1404"/>
      <c r="P569" s="1404"/>
      <c r="Q569" s="1404"/>
      <c r="R569" s="1404"/>
      <c r="S569" s="8"/>
      <c r="T569" s="22"/>
      <c r="U569" t="s">
        <v>85</v>
      </c>
      <c r="Z569" s="1404" t="s">
        <v>2751</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04" t="s">
        <v>503</v>
      </c>
      <c r="H570" s="1404"/>
      <c r="I570" s="1404"/>
      <c r="J570" s="1404"/>
      <c r="K570" s="1404"/>
      <c r="L570" s="1404"/>
      <c r="M570" s="1404"/>
      <c r="N570" s="1404"/>
      <c r="O570" s="1404"/>
      <c r="P570" s="1404"/>
      <c r="Q570" s="1404"/>
      <c r="R570" s="1404"/>
      <c r="T570" s="22"/>
      <c r="U570" t="s">
        <v>589</v>
      </c>
      <c r="Z570" s="1405" t="s">
        <v>503</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2752</v>
      </c>
      <c r="H571" s="1404"/>
      <c r="I571" s="1404"/>
      <c r="J571" s="1404"/>
      <c r="K571" s="1404"/>
      <c r="L571" s="1404"/>
      <c r="M571" s="1404"/>
      <c r="N571" s="1404"/>
      <c r="O571" s="1404"/>
      <c r="P571" s="1404"/>
      <c r="Q571" s="1404"/>
      <c r="R571" s="1404"/>
      <c r="S571" s="8"/>
      <c r="T571" s="22"/>
      <c r="U571" t="s">
        <v>17</v>
      </c>
      <c r="Z571" s="1405" t="s">
        <v>2752</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85" t="s">
        <v>2753</v>
      </c>
      <c r="H572" s="1474"/>
      <c r="I572" s="1474"/>
      <c r="J572" s="1474"/>
      <c r="K572" s="1474"/>
      <c r="L572" s="1474"/>
      <c r="O572" s="33" t="s">
        <v>207</v>
      </c>
      <c r="P572" s="1487"/>
      <c r="Q572" s="1487"/>
      <c r="R572" s="1487"/>
      <c r="S572" s="10"/>
      <c r="T572" s="22"/>
      <c r="U572" t="s">
        <v>317</v>
      </c>
      <c r="Z572" s="1474">
        <v>9166217514</v>
      </c>
      <c r="AA572" s="1474"/>
      <c r="AB572" s="1474"/>
      <c r="AC572" s="1474"/>
      <c r="AD572" s="1474"/>
      <c r="AE572" s="1474"/>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2754</v>
      </c>
      <c r="I573" s="1404"/>
      <c r="J573" s="1404"/>
      <c r="K573" s="1404"/>
      <c r="L573" s="1404"/>
      <c r="M573" s="1404"/>
      <c r="N573" s="1404"/>
      <c r="O573" s="1404"/>
      <c r="P573" s="1404"/>
      <c r="Q573" s="1404"/>
      <c r="R573" s="1404"/>
      <c r="S573" s="8"/>
      <c r="T573" s="22"/>
      <c r="U573" t="s">
        <v>18</v>
      </c>
      <c r="AA573" s="1404" t="s">
        <v>2756</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45" t="s">
        <v>2755</v>
      </c>
      <c r="N574" s="1745"/>
      <c r="O574" s="1745"/>
      <c r="P574" s="1745"/>
      <c r="Q574" s="1745"/>
      <c r="R574" s="1745"/>
      <c r="S574" s="8"/>
      <c r="T574" s="22"/>
      <c r="U574" s="348" t="s">
        <v>1292</v>
      </c>
      <c r="AA574" s="8"/>
      <c r="AB574" s="8"/>
      <c r="AC574" s="8"/>
      <c r="AD574" s="8"/>
      <c r="AE574" s="8"/>
      <c r="AF574" s="1745" t="s">
        <v>2755</v>
      </c>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HCD - FWHG</v>
      </c>
      <c r="H577" s="1449"/>
      <c r="I577" s="1449"/>
      <c r="J577" s="1449"/>
      <c r="K577" s="1449"/>
      <c r="L577" s="1449"/>
      <c r="M577" s="1449"/>
      <c r="N577" s="1449"/>
      <c r="O577" s="1449"/>
      <c r="P577" s="1449"/>
      <c r="Q577" s="1449"/>
      <c r="R577" s="1449"/>
      <c r="T577" s="55" t="s">
        <v>590</v>
      </c>
      <c r="U577" t="s">
        <v>472</v>
      </c>
      <c r="Z577" s="1449" t="str">
        <f>C557</f>
        <v xml:space="preserve">LP Equity </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2757</v>
      </c>
      <c r="H578" s="1404"/>
      <c r="I578" s="1404"/>
      <c r="J578" s="1404"/>
      <c r="K578" s="1404"/>
      <c r="L578" s="1404"/>
      <c r="M578" s="1404"/>
      <c r="N578" s="1404"/>
      <c r="O578" s="1404"/>
      <c r="P578" s="1404"/>
      <c r="Q578" s="1404"/>
      <c r="R578" s="1404"/>
      <c r="T578" s="22"/>
      <c r="U578" t="s">
        <v>85</v>
      </c>
      <c r="Z578" s="1404"/>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5" t="s">
        <v>68</v>
      </c>
      <c r="H579" s="1405"/>
      <c r="I579" s="1405"/>
      <c r="J579" s="1405"/>
      <c r="K579" s="1405"/>
      <c r="L579" s="1405"/>
      <c r="M579" s="1405"/>
      <c r="N579" s="1405"/>
      <c r="O579" s="1405"/>
      <c r="P579" s="1405"/>
      <c r="Q579" s="1405"/>
      <c r="R579" s="1405"/>
      <c r="T579" s="22"/>
      <c r="U579" t="s">
        <v>589</v>
      </c>
      <c r="Z579" s="1405"/>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2758</v>
      </c>
      <c r="H580" s="1405"/>
      <c r="I580" s="1405"/>
      <c r="J580" s="1405"/>
      <c r="K580" s="1405"/>
      <c r="L580" s="1405"/>
      <c r="M580" s="1405"/>
      <c r="N580" s="1405"/>
      <c r="O580" s="1405"/>
      <c r="P580" s="1405"/>
      <c r="Q580" s="1405"/>
      <c r="R580" s="1405"/>
      <c r="T580" s="22"/>
      <c r="U580" t="s">
        <v>17</v>
      </c>
      <c r="Z580" s="1405"/>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85" t="s">
        <v>2759</v>
      </c>
      <c r="H581" s="1474"/>
      <c r="I581" s="1474"/>
      <c r="J581" s="1474"/>
      <c r="K581" s="1474"/>
      <c r="L581" s="1474"/>
      <c r="O581" s="33" t="s">
        <v>207</v>
      </c>
      <c r="P581" s="1487"/>
      <c r="Q581" s="1487"/>
      <c r="R581" s="1487"/>
      <c r="T581" s="22"/>
      <c r="U581" t="s">
        <v>317</v>
      </c>
      <c r="Z581" s="1474"/>
      <c r="AA581" s="1474"/>
      <c r="AB581" s="1474"/>
      <c r="AC581" s="1474"/>
      <c r="AD581" s="1474"/>
      <c r="AE581" s="1474"/>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2760</v>
      </c>
      <c r="I582" s="1404"/>
      <c r="J582" s="1404"/>
      <c r="K582" s="1404"/>
      <c r="L582" s="1404"/>
      <c r="M582" s="1404"/>
      <c r="N582" s="1404"/>
      <c r="O582" s="1404"/>
      <c r="P582" s="1404"/>
      <c r="Q582" s="1404"/>
      <c r="R582" s="1404"/>
      <c r="T582" s="22"/>
      <c r="U582" t="s">
        <v>18</v>
      </c>
      <c r="AA582" s="1404" t="s">
        <v>2761</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554</v>
      </c>
      <c r="O583" s="1403"/>
      <c r="T583" s="22"/>
      <c r="U583" t="s">
        <v>20</v>
      </c>
      <c r="AG583" s="1403" t="s">
        <v>678</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t="str">
        <f>C558</f>
        <v>GP equity</v>
      </c>
      <c r="H585" s="1449"/>
      <c r="I585" s="1449"/>
      <c r="J585" s="1449"/>
      <c r="K585" s="1449"/>
      <c r="L585" s="1449"/>
      <c r="M585" s="1449"/>
      <c r="N585" s="1449"/>
      <c r="O585" s="1449"/>
      <c r="P585" s="1449"/>
      <c r="Q585" s="1449"/>
      <c r="R585" s="1449"/>
      <c r="T585" s="55" t="s">
        <v>593</v>
      </c>
      <c r="U585" t="s">
        <v>472</v>
      </c>
      <c r="Z585" s="1449">
        <f>C559</f>
        <v>0</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c r="H586" s="1404"/>
      <c r="I586" s="1404"/>
      <c r="J586" s="1404"/>
      <c r="K586" s="1404"/>
      <c r="L586" s="1404"/>
      <c r="M586" s="1404"/>
      <c r="N586" s="1404"/>
      <c r="O586" s="1404"/>
      <c r="P586" s="1404"/>
      <c r="Q586" s="1404"/>
      <c r="R586" s="1404"/>
      <c r="T586" s="22"/>
      <c r="U586" t="s">
        <v>85</v>
      </c>
      <c r="Z586" s="1404"/>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04"/>
      <c r="H587" s="1404"/>
      <c r="I587" s="1404"/>
      <c r="J587" s="1404"/>
      <c r="K587" s="1404"/>
      <c r="L587" s="1404"/>
      <c r="M587" s="1404"/>
      <c r="N587" s="1404"/>
      <c r="O587" s="1404"/>
      <c r="P587" s="1404"/>
      <c r="Q587" s="1404"/>
      <c r="R587" s="1404"/>
      <c r="T587" s="22"/>
      <c r="U587" t="s">
        <v>589</v>
      </c>
      <c r="Z587" s="1405"/>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c r="H588" s="1404"/>
      <c r="I588" s="1404"/>
      <c r="J588" s="1404"/>
      <c r="K588" s="1404"/>
      <c r="L588" s="1404"/>
      <c r="M588" s="1404"/>
      <c r="N588" s="1404"/>
      <c r="O588" s="1404"/>
      <c r="P588" s="1404"/>
      <c r="Q588" s="1404"/>
      <c r="R588" s="1404"/>
      <c r="T588" s="22"/>
      <c r="U588" t="s">
        <v>17</v>
      </c>
      <c r="Z588" s="1405"/>
      <c r="AA588" s="1405"/>
      <c r="AB588" s="1405"/>
      <c r="AC588" s="1405"/>
      <c r="AD588" s="1405"/>
      <c r="AE588" s="1405"/>
      <c r="AF588" s="1405"/>
      <c r="AG588" s="1405"/>
      <c r="AH588" s="1405"/>
      <c r="AI588" s="1405"/>
      <c r="AJ588" s="1405"/>
      <c r="AK588" s="1405"/>
    </row>
    <row r="589" spans="1:110" ht="12.95" customHeight="1">
      <c r="A589" s="22"/>
      <c r="B589" t="s">
        <v>317</v>
      </c>
      <c r="G589" s="1474"/>
      <c r="H589" s="1474"/>
      <c r="I589" s="1474"/>
      <c r="J589" s="1474"/>
      <c r="K589" s="1474"/>
      <c r="L589" s="1474"/>
      <c r="O589" s="33" t="s">
        <v>207</v>
      </c>
      <c r="P589" s="1487"/>
      <c r="Q589" s="1487"/>
      <c r="R589" s="1487"/>
      <c r="T589" s="22"/>
      <c r="U589" t="s">
        <v>317</v>
      </c>
      <c r="Z589" s="1474"/>
      <c r="AA589" s="1474"/>
      <c r="AB589" s="1474"/>
      <c r="AC589" s="1474"/>
      <c r="AD589" s="1474"/>
      <c r="AE589" s="1474"/>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c r="I590" s="1404"/>
      <c r="J590" s="1404"/>
      <c r="K590" s="1404"/>
      <c r="L590" s="1404"/>
      <c r="M590" s="1404"/>
      <c r="N590" s="1404"/>
      <c r="O590" s="1404"/>
      <c r="P590" s="1404"/>
      <c r="Q590" s="1404"/>
      <c r="R590" s="1404"/>
      <c r="T590" s="22"/>
      <c r="U590" t="s">
        <v>18</v>
      </c>
      <c r="AA590" s="1404"/>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678</v>
      </c>
      <c r="O591" s="1403"/>
      <c r="T591" s="22"/>
      <c r="U591" t="s">
        <v>20</v>
      </c>
      <c r="AG591" s="1403" t="s">
        <v>678</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f>C560</f>
        <v>0</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90"/>
      <c r="BH596" s="1492"/>
      <c r="BI596" s="121" t="s">
        <v>484</v>
      </c>
      <c r="BJ596" s="122"/>
      <c r="BK596" s="1490"/>
      <c r="BL596" s="1492"/>
      <c r="BM596" s="3"/>
      <c r="BN596" s="1422" t="s">
        <v>642</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469</v>
      </c>
      <c r="CI596" s="1505"/>
      <c r="CJ596" s="1505"/>
      <c r="CK596" s="1505"/>
      <c r="CL596" s="1505"/>
      <c r="CM596" s="1505" t="s">
        <v>30</v>
      </c>
      <c r="CN596" s="1505"/>
      <c r="CO596" s="1505"/>
      <c r="CP596" s="1505"/>
      <c r="CQ596" s="1505"/>
      <c r="CR596" s="89"/>
      <c r="CS596" s="1505" t="s">
        <v>642</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469</v>
      </c>
      <c r="DN596" s="1505"/>
      <c r="DO596" s="1505"/>
      <c r="DP596" s="1505"/>
      <c r="DQ596" s="1505"/>
      <c r="DR596" s="1505" t="s">
        <v>30</v>
      </c>
      <c r="DS596" s="1505"/>
      <c r="DT596" s="1505"/>
      <c r="DU596" s="1505"/>
      <c r="DV596" s="1505"/>
      <c r="DX596" s="1505" t="s">
        <v>642</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469</v>
      </c>
      <c r="ES596" s="1505"/>
      <c r="ET596" s="1505"/>
      <c r="EU596" s="1505"/>
      <c r="EV596" s="1505"/>
      <c r="EW596" s="1505" t="s">
        <v>30</v>
      </c>
      <c r="EX596" s="1505"/>
      <c r="EY596" s="1505"/>
      <c r="EZ596" s="1505"/>
      <c r="FA596" s="1505"/>
    </row>
    <row r="597" spans="1:157" s="4" customFormat="1" ht="12.95" customHeight="1">
      <c r="A597" s="22"/>
      <c r="B597" t="s">
        <v>317</v>
      </c>
      <c r="C597"/>
      <c r="D597"/>
      <c r="E597"/>
      <c r="F597"/>
      <c r="G597" s="1474"/>
      <c r="H597" s="1474"/>
      <c r="I597" s="1474"/>
      <c r="J597" s="1474"/>
      <c r="K597" s="1474"/>
      <c r="L597" s="1474"/>
      <c r="M597"/>
      <c r="N597"/>
      <c r="O597" s="33" t="s">
        <v>207</v>
      </c>
      <c r="P597" s="1487"/>
      <c r="Q597" s="1487"/>
      <c r="R597" s="1487"/>
      <c r="S597"/>
      <c r="T597" s="22"/>
      <c r="U597" t="s">
        <v>317</v>
      </c>
      <c r="V597"/>
      <c r="W597"/>
      <c r="X597"/>
      <c r="Y597"/>
      <c r="Z597" s="1474"/>
      <c r="AA597" s="1474"/>
      <c r="AB597" s="1474"/>
      <c r="AC597" s="1474"/>
      <c r="AD597" s="1474"/>
      <c r="AE597" s="1474"/>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1</v>
      </c>
      <c r="BJ597" s="1482"/>
      <c r="BK597" s="1490">
        <f t="shared" ref="BK597:BK631" si="4">IF(BI597=1,G718,0)</f>
        <v>6</v>
      </c>
      <c r="BL597" s="1492"/>
      <c r="BM597" s="3"/>
      <c r="BN597" s="1484">
        <f t="shared" ref="BN597:BN631" si="5">IF(B718="SRO/Studio",G718,0)</f>
        <v>0</v>
      </c>
      <c r="BO597" s="1485"/>
      <c r="BP597" s="1485"/>
      <c r="BQ597" s="1485"/>
      <c r="BR597" s="1486"/>
      <c r="BS597" s="1483">
        <f t="shared" ref="BS597:BS631" si="6">IF(B718="1 Bedroom",G718,0)</f>
        <v>6</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0</v>
      </c>
      <c r="CT597" s="1493"/>
      <c r="CU597" s="1493"/>
      <c r="CV597" s="1493"/>
      <c r="CW597" s="1493"/>
      <c r="CX597" s="1493">
        <f t="shared" ref="CX597:CX631" si="12">IF(AND(B718="1 Bedroom",AC718&lt;=0.3),G718,0)</f>
        <v>6</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t="str">
        <f t="shared" ref="DX597:DX631" si="17">IF(BN597&gt;0,O718,"")</f>
        <v/>
      </c>
      <c r="DY597" s="1481"/>
      <c r="DZ597" s="1481"/>
      <c r="EA597" s="1481"/>
      <c r="EB597" s="1482"/>
      <c r="EC597" s="1480">
        <f t="shared" ref="EC597:EC631" si="18">IF(BS597&gt;0,O718,"")</f>
        <v>379</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1</v>
      </c>
      <c r="BF598" s="1482"/>
      <c r="BG598" s="1490">
        <f t="shared" si="2"/>
        <v>3</v>
      </c>
      <c r="BH598" s="1492"/>
      <c r="BI598" s="1480">
        <f t="shared" si="3"/>
        <v>0</v>
      </c>
      <c r="BJ598" s="1482"/>
      <c r="BK598" s="1490">
        <f t="shared" si="4"/>
        <v>0</v>
      </c>
      <c r="BL598" s="1492"/>
      <c r="BM598" s="3"/>
      <c r="BN598" s="1484">
        <f t="shared" si="5"/>
        <v>0</v>
      </c>
      <c r="BO598" s="1485"/>
      <c r="BP598" s="1485"/>
      <c r="BQ598" s="1485"/>
      <c r="BR598" s="1486"/>
      <c r="BS598" s="1483">
        <f t="shared" si="6"/>
        <v>3</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0</v>
      </c>
      <c r="CT598" s="1493"/>
      <c r="CU598" s="1493"/>
      <c r="CV598" s="1493"/>
      <c r="CW598" s="1493"/>
      <c r="CX598" s="1493">
        <f t="shared" si="12"/>
        <v>0</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t="str">
        <f t="shared" si="17"/>
        <v/>
      </c>
      <c r="DY598" s="1481"/>
      <c r="DZ598" s="1481"/>
      <c r="EA598" s="1481"/>
      <c r="EB598" s="1482"/>
      <c r="EC598" s="1480">
        <f t="shared" si="18"/>
        <v>554</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403" t="s">
        <v>678</v>
      </c>
      <c r="O599" s="1403"/>
      <c r="T599" s="22"/>
      <c r="U599" t="s">
        <v>20</v>
      </c>
      <c r="AG599" s="1403" t="s">
        <v>678</v>
      </c>
      <c r="AH599" s="1403"/>
      <c r="BA599" s="4" t="s">
        <v>164</v>
      </c>
      <c r="BB599" s="3"/>
      <c r="BC599" s="3"/>
      <c r="BD599" s="3"/>
      <c r="BE599" s="1480">
        <f t="shared" si="1"/>
        <v>1</v>
      </c>
      <c r="BF599" s="1482"/>
      <c r="BG599" s="1490">
        <f t="shared" si="2"/>
        <v>19</v>
      </c>
      <c r="BH599" s="1492"/>
      <c r="BI599" s="1480">
        <f t="shared" si="3"/>
        <v>0</v>
      </c>
      <c r="BJ599" s="1482"/>
      <c r="BK599" s="1490">
        <f t="shared" si="4"/>
        <v>0</v>
      </c>
      <c r="BL599" s="1492"/>
      <c r="BM599" s="3"/>
      <c r="BN599" s="1484">
        <f t="shared" si="5"/>
        <v>0</v>
      </c>
      <c r="BO599" s="1485"/>
      <c r="BP599" s="1485"/>
      <c r="BQ599" s="1485"/>
      <c r="BR599" s="1486"/>
      <c r="BS599" s="1483">
        <f t="shared" si="6"/>
        <v>19</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0" t="str">
        <f t="shared" si="17"/>
        <v/>
      </c>
      <c r="DY599" s="1481"/>
      <c r="DZ599" s="1481"/>
      <c r="EA599" s="1481"/>
      <c r="EB599" s="1482"/>
      <c r="EC599" s="1480">
        <f t="shared" si="18"/>
        <v>554</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1</v>
      </c>
      <c r="BF600" s="1482"/>
      <c r="BG600" s="1490">
        <f t="shared" si="2"/>
        <v>2</v>
      </c>
      <c r="BH600" s="1492"/>
      <c r="BI600" s="1480">
        <f t="shared" si="3"/>
        <v>0</v>
      </c>
      <c r="BJ600" s="1482"/>
      <c r="BK600" s="1490">
        <f t="shared" si="4"/>
        <v>0</v>
      </c>
      <c r="BL600" s="1492"/>
      <c r="BM600" s="3"/>
      <c r="BN600" s="1484">
        <f t="shared" si="5"/>
        <v>0</v>
      </c>
      <c r="BO600" s="1485"/>
      <c r="BP600" s="1485"/>
      <c r="BQ600" s="1485"/>
      <c r="BR600" s="1486"/>
      <c r="BS600" s="1483">
        <f t="shared" si="6"/>
        <v>2</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0</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f t="shared" si="18"/>
        <v>729</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0">
        <f t="shared" si="1"/>
        <v>0</v>
      </c>
      <c r="BF601" s="1482"/>
      <c r="BG601" s="1490">
        <f t="shared" si="2"/>
        <v>0</v>
      </c>
      <c r="BH601" s="1492"/>
      <c r="BI601" s="1480">
        <f t="shared" si="3"/>
        <v>0</v>
      </c>
      <c r="BJ601" s="1482"/>
      <c r="BK601" s="1490">
        <f t="shared" si="4"/>
        <v>0</v>
      </c>
      <c r="BL601" s="1492"/>
      <c r="BM601" s="3"/>
      <c r="BN601" s="1484">
        <f t="shared" si="5"/>
        <v>0</v>
      </c>
      <c r="BO601" s="1485"/>
      <c r="BP601" s="1485"/>
      <c r="BQ601" s="1485"/>
      <c r="BR601" s="1486"/>
      <c r="BS601" s="1483">
        <f t="shared" si="6"/>
        <v>1</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0</v>
      </c>
      <c r="CT601" s="1493"/>
      <c r="CU601" s="1493"/>
      <c r="CV601" s="1493"/>
      <c r="CW601" s="1493"/>
      <c r="CX601" s="1493">
        <f t="shared" si="12"/>
        <v>0</v>
      </c>
      <c r="CY601" s="1493"/>
      <c r="CZ601" s="1493"/>
      <c r="DA601" s="1493"/>
      <c r="DB601" s="1493"/>
      <c r="DC601" s="1493">
        <f t="shared" si="13"/>
        <v>0</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t="str">
        <f t="shared" si="17"/>
        <v/>
      </c>
      <c r="DY601" s="1481"/>
      <c r="DZ601" s="1481"/>
      <c r="EA601" s="1481"/>
      <c r="EB601" s="1482"/>
      <c r="EC601" s="1480">
        <f t="shared" si="18"/>
        <v>904</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0</v>
      </c>
      <c r="BF602" s="1482"/>
      <c r="BG602" s="1490">
        <f t="shared" si="2"/>
        <v>0</v>
      </c>
      <c r="BH602" s="1492"/>
      <c r="BI602" s="1480">
        <f t="shared" si="3"/>
        <v>1</v>
      </c>
      <c r="BJ602" s="1482"/>
      <c r="BK602" s="1490">
        <f t="shared" si="4"/>
        <v>7</v>
      </c>
      <c r="BL602" s="1492"/>
      <c r="BM602" s="3"/>
      <c r="BN602" s="1484">
        <f t="shared" si="5"/>
        <v>0</v>
      </c>
      <c r="BO602" s="1485"/>
      <c r="BP602" s="1485"/>
      <c r="BQ602" s="1485"/>
      <c r="BR602" s="1486"/>
      <c r="BS602" s="1483">
        <f t="shared" si="6"/>
        <v>0</v>
      </c>
      <c r="BT602" s="1483"/>
      <c r="BU602" s="1483"/>
      <c r="BV602" s="1483"/>
      <c r="BW602" s="1483"/>
      <c r="BX602" s="1483">
        <f t="shared" si="7"/>
        <v>7</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0</v>
      </c>
      <c r="CY602" s="1493"/>
      <c r="CZ602" s="1493"/>
      <c r="DA602" s="1493"/>
      <c r="DB602" s="1493"/>
      <c r="DC602" s="1493">
        <f t="shared" si="13"/>
        <v>7</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t="str">
        <f t="shared" si="18"/>
        <v/>
      </c>
      <c r="ED602" s="1481"/>
      <c r="EE602" s="1481"/>
      <c r="EF602" s="1481"/>
      <c r="EG602" s="1482"/>
      <c r="EH602" s="1480">
        <f t="shared" si="19"/>
        <v>451</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80">
        <f t="shared" si="1"/>
        <v>1</v>
      </c>
      <c r="BF603" s="1482"/>
      <c r="BG603" s="1490">
        <f t="shared" si="2"/>
        <v>5</v>
      </c>
      <c r="BH603" s="1492"/>
      <c r="BI603" s="1480">
        <f t="shared" si="3"/>
        <v>0</v>
      </c>
      <c r="BJ603" s="1482"/>
      <c r="BK603" s="1490">
        <f t="shared" si="4"/>
        <v>0</v>
      </c>
      <c r="BL603" s="1492"/>
      <c r="BM603" s="3"/>
      <c r="BN603" s="1484">
        <f t="shared" si="5"/>
        <v>0</v>
      </c>
      <c r="BO603" s="1485"/>
      <c r="BP603" s="1485"/>
      <c r="BQ603" s="1485"/>
      <c r="BR603" s="1486"/>
      <c r="BS603" s="1483">
        <f t="shared" si="6"/>
        <v>0</v>
      </c>
      <c r="BT603" s="1483"/>
      <c r="BU603" s="1483"/>
      <c r="BV603" s="1483"/>
      <c r="BW603" s="1483"/>
      <c r="BX603" s="1483">
        <f t="shared" si="7"/>
        <v>5</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t="str">
        <f t="shared" si="18"/>
        <v/>
      </c>
      <c r="ED603" s="1481"/>
      <c r="EE603" s="1481"/>
      <c r="EF603" s="1481"/>
      <c r="EG603" s="1482"/>
      <c r="EH603" s="1480">
        <f t="shared" si="19"/>
        <v>661</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1</v>
      </c>
      <c r="BF604" s="1482"/>
      <c r="BG604" s="1490">
        <f t="shared" si="2"/>
        <v>18</v>
      </c>
      <c r="BH604" s="1492"/>
      <c r="BI604" s="1480">
        <f t="shared" si="3"/>
        <v>0</v>
      </c>
      <c r="BJ604" s="1482"/>
      <c r="BK604" s="1490">
        <f t="shared" si="4"/>
        <v>0</v>
      </c>
      <c r="BL604" s="1492"/>
      <c r="BM604" s="3"/>
      <c r="BN604" s="1484">
        <f t="shared" si="5"/>
        <v>0</v>
      </c>
      <c r="BO604" s="1485"/>
      <c r="BP604" s="1485"/>
      <c r="BQ604" s="1485"/>
      <c r="BR604" s="1486"/>
      <c r="BS604" s="1483">
        <f t="shared" si="6"/>
        <v>0</v>
      </c>
      <c r="BT604" s="1483"/>
      <c r="BU604" s="1483"/>
      <c r="BV604" s="1483"/>
      <c r="BW604" s="1483"/>
      <c r="BX604" s="1483">
        <f t="shared" si="7"/>
        <v>18</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t="str">
        <f t="shared" si="18"/>
        <v/>
      </c>
      <c r="ED604" s="1481"/>
      <c r="EE604" s="1481"/>
      <c r="EF604" s="1481"/>
      <c r="EG604" s="1482"/>
      <c r="EH604" s="1480">
        <f t="shared" si="19"/>
        <v>661</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474"/>
      <c r="H605" s="1474"/>
      <c r="I605" s="1474"/>
      <c r="J605" s="1474"/>
      <c r="K605" s="1474"/>
      <c r="L605" s="1474"/>
      <c r="M605"/>
      <c r="N605"/>
      <c r="O605" s="33" t="s">
        <v>207</v>
      </c>
      <c r="P605" s="1487"/>
      <c r="Q605" s="1487"/>
      <c r="R605" s="1487"/>
      <c r="S605"/>
      <c r="T605" s="22"/>
      <c r="U605" t="s">
        <v>317</v>
      </c>
      <c r="V605"/>
      <c r="W605"/>
      <c r="X605"/>
      <c r="Y605"/>
      <c r="Z605" s="1474"/>
      <c r="AA605" s="1474"/>
      <c r="AB605" s="1474"/>
      <c r="AC605" s="1474"/>
      <c r="AD605" s="1474"/>
      <c r="AE605" s="1474"/>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1</v>
      </c>
      <c r="BF605" s="1482"/>
      <c r="BG605" s="1490">
        <f t="shared" si="2"/>
        <v>3</v>
      </c>
      <c r="BH605" s="1492"/>
      <c r="BI605" s="1480">
        <f t="shared" si="3"/>
        <v>0</v>
      </c>
      <c r="BJ605" s="1482"/>
      <c r="BK605" s="1490">
        <f t="shared" si="4"/>
        <v>0</v>
      </c>
      <c r="BL605" s="1492"/>
      <c r="BM605" s="3"/>
      <c r="BN605" s="1484">
        <f t="shared" si="5"/>
        <v>0</v>
      </c>
      <c r="BO605" s="1485"/>
      <c r="BP605" s="1485"/>
      <c r="BQ605" s="1485"/>
      <c r="BR605" s="1486"/>
      <c r="BS605" s="1483">
        <f t="shared" si="6"/>
        <v>0</v>
      </c>
      <c r="BT605" s="1483"/>
      <c r="BU605" s="1483"/>
      <c r="BV605" s="1483"/>
      <c r="BW605" s="1483"/>
      <c r="BX605" s="1483">
        <f t="shared" si="7"/>
        <v>3</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0</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f t="shared" si="19"/>
        <v>870</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0</v>
      </c>
      <c r="BF606" s="1482"/>
      <c r="BG606" s="1490">
        <f t="shared" si="2"/>
        <v>0</v>
      </c>
      <c r="BH606" s="1492"/>
      <c r="BI606" s="1480">
        <f t="shared" si="3"/>
        <v>0</v>
      </c>
      <c r="BJ606" s="1482"/>
      <c r="BK606" s="1490">
        <f t="shared" si="4"/>
        <v>0</v>
      </c>
      <c r="BL606" s="1492"/>
      <c r="BM606" s="3"/>
      <c r="BN606" s="1484">
        <f t="shared" si="5"/>
        <v>0</v>
      </c>
      <c r="BO606" s="1485"/>
      <c r="BP606" s="1485"/>
      <c r="BQ606" s="1485"/>
      <c r="BR606" s="1486"/>
      <c r="BS606" s="1483">
        <f t="shared" si="6"/>
        <v>0</v>
      </c>
      <c r="BT606" s="1483"/>
      <c r="BU606" s="1483"/>
      <c r="BV606" s="1483"/>
      <c r="BW606" s="1483"/>
      <c r="BX606" s="1483">
        <f t="shared" si="7"/>
        <v>1</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0</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f t="shared" si="19"/>
        <v>1080</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0">
        <f t="shared" si="1"/>
        <v>0</v>
      </c>
      <c r="BF607" s="1482"/>
      <c r="BG607" s="1490">
        <f t="shared" si="2"/>
        <v>0</v>
      </c>
      <c r="BH607" s="1492"/>
      <c r="BI607" s="1480">
        <f t="shared" si="3"/>
        <v>1</v>
      </c>
      <c r="BJ607" s="1482"/>
      <c r="BK607" s="1490">
        <f t="shared" si="4"/>
        <v>3</v>
      </c>
      <c r="BL607" s="1492"/>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3</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3</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f t="shared" si="20"/>
        <v>514</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0">
        <f t="shared" si="2"/>
        <v>0</v>
      </c>
      <c r="BH608" s="1492"/>
      <c r="BI608" s="1480">
        <f t="shared" si="3"/>
        <v>1</v>
      </c>
      <c r="BJ608" s="1482"/>
      <c r="BK608" s="1490">
        <f t="shared" si="4"/>
        <v>4</v>
      </c>
      <c r="BL608" s="1492"/>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4</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4</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f t="shared" si="20"/>
        <v>514</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1</v>
      </c>
      <c r="BF609" s="1482"/>
      <c r="BG609" s="1490">
        <f t="shared" si="2"/>
        <v>8</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8</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f t="shared" si="20"/>
        <v>756</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1</v>
      </c>
      <c r="BF610" s="1482"/>
      <c r="BG610" s="1490">
        <f t="shared" si="2"/>
        <v>4</v>
      </c>
      <c r="BH610" s="1492"/>
      <c r="BI610" s="1480">
        <f t="shared" si="3"/>
        <v>0</v>
      </c>
      <c r="BJ610" s="1482"/>
      <c r="BK610" s="1490">
        <f t="shared" si="4"/>
        <v>0</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4</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f t="shared" si="20"/>
        <v>756</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80">
        <f t="shared" si="1"/>
        <v>1</v>
      </c>
      <c r="BF611" s="1482"/>
      <c r="BG611" s="1490">
        <f t="shared" si="2"/>
        <v>3</v>
      </c>
      <c r="BH611" s="1492"/>
      <c r="BI611" s="1480">
        <f t="shared" si="3"/>
        <v>0</v>
      </c>
      <c r="BJ611" s="1482"/>
      <c r="BK611" s="1490">
        <f t="shared" si="4"/>
        <v>0</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3</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f t="shared" si="20"/>
        <v>998</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1</v>
      </c>
      <c r="BF612" s="1482"/>
      <c r="BG612" s="1490">
        <f t="shared" si="2"/>
        <v>2</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2</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f t="shared" si="20"/>
        <v>998</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474"/>
      <c r="H613" s="1474"/>
      <c r="I613" s="1474"/>
      <c r="J613" s="1474"/>
      <c r="K613" s="1474"/>
      <c r="L613" s="1474"/>
      <c r="O613" s="33" t="s">
        <v>207</v>
      </c>
      <c r="P613" s="1487"/>
      <c r="Q613" s="1487"/>
      <c r="R613" s="1487"/>
      <c r="U613" t="s">
        <v>317</v>
      </c>
      <c r="Z613" s="1474"/>
      <c r="AA613" s="1474"/>
      <c r="AB613" s="1474"/>
      <c r="AC613" s="1474"/>
      <c r="AD613" s="1474"/>
      <c r="AE613" s="1474"/>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2</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f t="shared" si="20"/>
        <v>1241</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1</v>
      </c>
      <c r="BJ614" s="1482"/>
      <c r="BK614" s="1490">
        <f t="shared" si="4"/>
        <v>1</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1</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1</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f t="shared" si="21"/>
        <v>563</v>
      </c>
      <c r="ES614" s="1481"/>
      <c r="ET614" s="1481"/>
      <c r="EU614" s="1481"/>
      <c r="EV614" s="1482"/>
      <c r="EW614" s="1480" t="str">
        <f t="shared" si="22"/>
        <v/>
      </c>
      <c r="EX614" s="1481"/>
      <c r="EY614" s="1481"/>
      <c r="EZ614" s="1481"/>
      <c r="FA614" s="1482"/>
    </row>
    <row r="615" spans="1:157" ht="12.95" customHeight="1">
      <c r="B615" t="s">
        <v>20</v>
      </c>
      <c r="N615" s="1403" t="s">
        <v>678</v>
      </c>
      <c r="O615" s="1403"/>
      <c r="U615" t="s">
        <v>20</v>
      </c>
      <c r="AG615" s="1403" t="s">
        <v>678</v>
      </c>
      <c r="AH615" s="1403"/>
      <c r="AU615" s="934"/>
      <c r="AV615" s="934"/>
      <c r="AW615" s="934"/>
      <c r="AX615" s="934"/>
      <c r="AY615" s="934"/>
      <c r="AZ615" s="3"/>
      <c r="BA615" s="3"/>
      <c r="BB615" s="3"/>
      <c r="BC615" s="3"/>
      <c r="BD615" s="3"/>
      <c r="BE615" s="1480">
        <f t="shared" si="1"/>
        <v>0</v>
      </c>
      <c r="BF615" s="1482"/>
      <c r="BG615" s="1490">
        <f t="shared" si="2"/>
        <v>0</v>
      </c>
      <c r="BH615" s="1492"/>
      <c r="BI615" s="1480">
        <f t="shared" si="3"/>
        <v>1</v>
      </c>
      <c r="BJ615" s="1482"/>
      <c r="BK615" s="1490">
        <f t="shared" si="4"/>
        <v>2</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2</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2</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f t="shared" si="21"/>
        <v>563</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1</v>
      </c>
      <c r="BF616" s="1482"/>
      <c r="BG616" s="1490">
        <f t="shared" si="2"/>
        <v>2</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2</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f t="shared" si="21"/>
        <v>834</v>
      </c>
      <c r="ES616" s="1481"/>
      <c r="ET616" s="1481"/>
      <c r="EU616" s="1481"/>
      <c r="EV616" s="1482"/>
      <c r="EW616" s="1480" t="str">
        <f t="shared" si="22"/>
        <v/>
      </c>
      <c r="EX616" s="1481"/>
      <c r="EY616" s="1481"/>
      <c r="EZ616" s="1481"/>
      <c r="FA616" s="1482"/>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1</v>
      </c>
      <c r="BF617" s="1482"/>
      <c r="BG617" s="1490">
        <f t="shared" si="2"/>
        <v>3</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3</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f t="shared" si="21"/>
        <v>1104</v>
      </c>
      <c r="ES617" s="1481"/>
      <c r="ET617" s="1481"/>
      <c r="EU617" s="1481"/>
      <c r="EV617" s="1482"/>
      <c r="EW617" s="1480" t="str">
        <f t="shared" si="22"/>
        <v/>
      </c>
      <c r="EX617" s="1481"/>
      <c r="EY617" s="1481"/>
      <c r="EZ617" s="1481"/>
      <c r="FA617" s="1482"/>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2421</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503" t="s">
        <v>2423</v>
      </c>
      <c r="C624" s="1503"/>
      <c r="D624" s="1503"/>
      <c r="E624" s="1503"/>
      <c r="F624" s="1503"/>
      <c r="G624" s="1503"/>
      <c r="H624" s="1503"/>
      <c r="I624" s="1503"/>
      <c r="J624" s="1503"/>
      <c r="K624" s="1503"/>
      <c r="L624" s="1503"/>
      <c r="M624" s="1462" t="s">
        <v>2424</v>
      </c>
      <c r="N624" s="1462"/>
      <c r="O624" s="1462"/>
      <c r="P624" s="1462"/>
      <c r="Q624" s="1462" t="s">
        <v>2045</v>
      </c>
      <c r="R624" s="1462"/>
      <c r="S624" s="1462"/>
      <c r="T624" s="1462" t="s">
        <v>2043</v>
      </c>
      <c r="U624" s="1462"/>
      <c r="V624" s="1462"/>
      <c r="W624" s="1464" t="s">
        <v>462</v>
      </c>
      <c r="X624" s="1464"/>
      <c r="Y624" s="1464"/>
      <c r="Z624" s="1497" t="s">
        <v>2453</v>
      </c>
      <c r="AA624" s="1497"/>
      <c r="AB624" s="1498"/>
      <c r="AC624" s="1708" t="s">
        <v>1866</v>
      </c>
      <c r="AD624" s="1709"/>
      <c r="AE624" s="1710"/>
      <c r="AF624" s="1631" t="s">
        <v>2232</v>
      </c>
      <c r="AG624" s="1497"/>
      <c r="AH624" s="1497"/>
      <c r="AI624" s="1497"/>
      <c r="AJ624" s="1498"/>
      <c r="AK624" s="1636" t="s">
        <v>2233</v>
      </c>
      <c r="AL624" s="1637"/>
      <c r="AM624" s="1637"/>
      <c r="AN624" s="1638"/>
      <c r="AO624" s="1462" t="s">
        <v>463</v>
      </c>
      <c r="AP624" s="1462"/>
      <c r="AQ624" s="1462"/>
      <c r="AR624" s="1462"/>
      <c r="AS624" s="1462"/>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503"/>
      <c r="C625" s="1503"/>
      <c r="D625" s="1503"/>
      <c r="E625" s="1503"/>
      <c r="F625" s="1503"/>
      <c r="G625" s="1503"/>
      <c r="H625" s="1503"/>
      <c r="I625" s="1503"/>
      <c r="J625" s="1503"/>
      <c r="K625" s="1503"/>
      <c r="L625" s="1503"/>
      <c r="M625" s="1462"/>
      <c r="N625" s="1462"/>
      <c r="O625" s="1462"/>
      <c r="P625" s="1462"/>
      <c r="Q625" s="1462"/>
      <c r="R625" s="1462"/>
      <c r="S625" s="1462"/>
      <c r="T625" s="1462"/>
      <c r="U625" s="1462"/>
      <c r="V625" s="1462"/>
      <c r="W625" s="1464"/>
      <c r="X625" s="1464"/>
      <c r="Y625" s="1464"/>
      <c r="Z625" s="1499"/>
      <c r="AA625" s="1499"/>
      <c r="AB625" s="1500"/>
      <c r="AC625" s="1711"/>
      <c r="AD625" s="1712"/>
      <c r="AE625" s="1713"/>
      <c r="AF625" s="1632"/>
      <c r="AG625" s="1499"/>
      <c r="AH625" s="1499"/>
      <c r="AI625" s="1499"/>
      <c r="AJ625" s="1500"/>
      <c r="AK625" s="1639"/>
      <c r="AL625" s="1640"/>
      <c r="AM625" s="1640"/>
      <c r="AN625" s="1641"/>
      <c r="AO625" s="1462"/>
      <c r="AP625" s="1462"/>
      <c r="AQ625" s="1462"/>
      <c r="AR625" s="1462"/>
      <c r="AS625" s="1462"/>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503"/>
      <c r="C626" s="1503"/>
      <c r="D626" s="1503"/>
      <c r="E626" s="1503"/>
      <c r="F626" s="1503"/>
      <c r="G626" s="1503"/>
      <c r="H626" s="1503"/>
      <c r="I626" s="1503"/>
      <c r="J626" s="1503"/>
      <c r="K626" s="1503"/>
      <c r="L626" s="1503"/>
      <c r="M626" s="1462"/>
      <c r="N626" s="1462"/>
      <c r="O626" s="1462"/>
      <c r="P626" s="1462"/>
      <c r="Q626" s="1462"/>
      <c r="R626" s="1462"/>
      <c r="S626" s="1462"/>
      <c r="T626" s="1462"/>
      <c r="U626" s="1462"/>
      <c r="V626" s="1462"/>
      <c r="W626" s="1464"/>
      <c r="X626" s="1464"/>
      <c r="Y626" s="1464"/>
      <c r="Z626" s="1501"/>
      <c r="AA626" s="1501"/>
      <c r="AB626" s="1502"/>
      <c r="AC626" s="1714"/>
      <c r="AD626" s="1715"/>
      <c r="AE626" s="1716"/>
      <c r="AF626" s="1633"/>
      <c r="AG626" s="1501"/>
      <c r="AH626" s="1501"/>
      <c r="AI626" s="1501"/>
      <c r="AJ626" s="1502"/>
      <c r="AK626" s="1642"/>
      <c r="AL626" s="1643"/>
      <c r="AM626" s="1643"/>
      <c r="AN626" s="1644"/>
      <c r="AO626" s="1462"/>
      <c r="AP626" s="1462"/>
      <c r="AQ626" s="1462"/>
      <c r="AR626" s="1462"/>
      <c r="AS626" s="1462"/>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707" t="s">
        <v>2737</v>
      </c>
      <c r="D627" s="1707"/>
      <c r="E627" s="1707"/>
      <c r="F627" s="1707"/>
      <c r="G627" s="1707"/>
      <c r="H627" s="1707"/>
      <c r="I627" s="1707"/>
      <c r="J627" s="1707"/>
      <c r="K627" s="1707"/>
      <c r="L627" s="1707"/>
      <c r="M627" s="1447" t="s">
        <v>2440</v>
      </c>
      <c r="N627" s="1447"/>
      <c r="O627" s="1447"/>
      <c r="P627" s="1447"/>
      <c r="Q627" s="1457">
        <v>204</v>
      </c>
      <c r="R627" s="1457"/>
      <c r="S627" s="1458"/>
      <c r="T627" s="1456">
        <v>420</v>
      </c>
      <c r="U627" s="1457"/>
      <c r="V627" s="1458"/>
      <c r="W627" s="1453">
        <f>[1]EVERYTHING!$AE$74</f>
        <v>7.0000000000000007E-2</v>
      </c>
      <c r="X627" s="1454"/>
      <c r="Y627" s="1455"/>
      <c r="Z627" s="1494" t="s">
        <v>2452</v>
      </c>
      <c r="AA627" s="1495"/>
      <c r="AB627" s="1496"/>
      <c r="AC627" s="1450">
        <v>1</v>
      </c>
      <c r="AD627" s="1451"/>
      <c r="AE627" s="1452"/>
      <c r="AF627" s="1379">
        <f>[1]EVERYTHING!$AG$65</f>
        <v>352242.39726265601</v>
      </c>
      <c r="AG627" s="1380"/>
      <c r="AH627" s="1380"/>
      <c r="AI627" s="1380"/>
      <c r="AJ627" s="1381"/>
      <c r="AK627" s="1459"/>
      <c r="AL627" s="1460"/>
      <c r="AM627" s="1460"/>
      <c r="AN627" s="1461"/>
      <c r="AO627" s="1504">
        <f>[1]EVERYTHING!$AE$73</f>
        <v>4594700</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707" t="s">
        <v>2738</v>
      </c>
      <c r="D628" s="1707"/>
      <c r="E628" s="1707"/>
      <c r="F628" s="1707"/>
      <c r="G628" s="1707"/>
      <c r="H628" s="1707"/>
      <c r="I628" s="1707"/>
      <c r="J628" s="1707"/>
      <c r="K628" s="1707"/>
      <c r="L628" s="1707"/>
      <c r="M628" s="1447" t="s">
        <v>2436</v>
      </c>
      <c r="N628" s="1447"/>
      <c r="O628" s="1447"/>
      <c r="P628" s="1447"/>
      <c r="Q628" s="1456">
        <v>660</v>
      </c>
      <c r="R628" s="1457"/>
      <c r="S628" s="1458"/>
      <c r="T628" s="1456">
        <v>0</v>
      </c>
      <c r="U628" s="1457"/>
      <c r="V628" s="1458"/>
      <c r="W628" s="1453">
        <v>0.03</v>
      </c>
      <c r="X628" s="1454"/>
      <c r="Y628" s="1455"/>
      <c r="Z628" s="1494" t="s">
        <v>466</v>
      </c>
      <c r="AA628" s="1495"/>
      <c r="AB628" s="1496"/>
      <c r="AC628" s="1450">
        <v>2</v>
      </c>
      <c r="AD628" s="1451"/>
      <c r="AE628" s="1452"/>
      <c r="AF628" s="1379">
        <f>AO628*0.42%</f>
        <v>80398.289999999994</v>
      </c>
      <c r="AG628" s="1380"/>
      <c r="AH628" s="1380"/>
      <c r="AI628" s="1380"/>
      <c r="AJ628" s="1381"/>
      <c r="AK628" s="1459"/>
      <c r="AL628" s="1460"/>
      <c r="AM628" s="1460"/>
      <c r="AN628" s="1461"/>
      <c r="AO628" s="1394">
        <v>19142450</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707" t="s">
        <v>2739</v>
      </c>
      <c r="D629" s="1707"/>
      <c r="E629" s="1707"/>
      <c r="F629" s="1707"/>
      <c r="G629" s="1707"/>
      <c r="H629" s="1707"/>
      <c r="I629" s="1707"/>
      <c r="J629" s="1707"/>
      <c r="K629" s="1707"/>
      <c r="L629" s="1707"/>
      <c r="M629" s="1447" t="s">
        <v>2436</v>
      </c>
      <c r="N629" s="1447"/>
      <c r="O629" s="1447"/>
      <c r="P629" s="1447"/>
      <c r="Q629" s="1456">
        <v>660</v>
      </c>
      <c r="R629" s="1457"/>
      <c r="S629" s="1458"/>
      <c r="T629" s="1456">
        <v>0</v>
      </c>
      <c r="U629" s="1457"/>
      <c r="V629" s="1458"/>
      <c r="W629" s="1453">
        <v>0.03</v>
      </c>
      <c r="X629" s="1454"/>
      <c r="Y629" s="1455"/>
      <c r="Z629" s="1494" t="s">
        <v>466</v>
      </c>
      <c r="AA629" s="1495"/>
      <c r="AB629" s="1496"/>
      <c r="AC629" s="1450">
        <v>3</v>
      </c>
      <c r="AD629" s="1451"/>
      <c r="AE629" s="1452"/>
      <c r="AF629" s="1379">
        <f>AO629*0.42%</f>
        <v>27773.222399999999</v>
      </c>
      <c r="AG629" s="1380"/>
      <c r="AH629" s="1380"/>
      <c r="AI629" s="1380"/>
      <c r="AJ629" s="1381"/>
      <c r="AK629" s="1459"/>
      <c r="AL629" s="1460"/>
      <c r="AM629" s="1460"/>
      <c r="AN629" s="1461"/>
      <c r="AO629" s="1394">
        <v>6612672</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590</v>
      </c>
      <c r="C630" s="1707" t="s">
        <v>1852</v>
      </c>
      <c r="D630" s="1448"/>
      <c r="E630" s="1448"/>
      <c r="F630" s="1448"/>
      <c r="G630" s="1448"/>
      <c r="H630" s="1448"/>
      <c r="I630" s="1448"/>
      <c r="J630" s="1448"/>
      <c r="K630" s="1448"/>
      <c r="L630" s="1448"/>
      <c r="M630" s="1447" t="s">
        <v>2427</v>
      </c>
      <c r="N630" s="1447"/>
      <c r="O630" s="1447"/>
      <c r="P630" s="1447"/>
      <c r="Q630" s="1456"/>
      <c r="R630" s="1457"/>
      <c r="S630" s="1458"/>
      <c r="T630" s="1456"/>
      <c r="U630" s="1457"/>
      <c r="V630" s="1458"/>
      <c r="W630" s="1453"/>
      <c r="X630" s="1454"/>
      <c r="Y630" s="1455"/>
      <c r="Z630" s="1494" t="s">
        <v>1291</v>
      </c>
      <c r="AA630" s="1495"/>
      <c r="AB630" s="1496"/>
      <c r="AC630" s="1450"/>
      <c r="AD630" s="1451"/>
      <c r="AE630" s="1452"/>
      <c r="AF630" s="1379"/>
      <c r="AG630" s="1380"/>
      <c r="AH630" s="1380"/>
      <c r="AI630" s="1380"/>
      <c r="AJ630" s="1381"/>
      <c r="AK630" s="1459"/>
      <c r="AL630" s="1460"/>
      <c r="AM630" s="1460"/>
      <c r="AN630" s="1461"/>
      <c r="AO630" s="1394">
        <f>[1]EVERYTHING!$C$12</f>
        <v>1300000</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773</v>
      </c>
      <c r="C631" s="1707" t="s">
        <v>2740</v>
      </c>
      <c r="D631" s="1448"/>
      <c r="E631" s="1448"/>
      <c r="F631" s="1448"/>
      <c r="G631" s="1448"/>
      <c r="H631" s="1448"/>
      <c r="I631" s="1448"/>
      <c r="J631" s="1448"/>
      <c r="K631" s="1448"/>
      <c r="L631" s="1448"/>
      <c r="M631" s="1447" t="s">
        <v>2430</v>
      </c>
      <c r="N631" s="1447"/>
      <c r="O631" s="1447"/>
      <c r="P631" s="1447"/>
      <c r="Q631" s="1456"/>
      <c r="R631" s="1457"/>
      <c r="S631" s="1458"/>
      <c r="T631" s="1456"/>
      <c r="U631" s="1457"/>
      <c r="V631" s="1458"/>
      <c r="W631" s="1453"/>
      <c r="X631" s="1454"/>
      <c r="Y631" s="1455"/>
      <c r="Z631" s="1494" t="s">
        <v>1291</v>
      </c>
      <c r="AA631" s="1495"/>
      <c r="AB631" s="1496"/>
      <c r="AC631" s="1450"/>
      <c r="AD631" s="1451"/>
      <c r="AE631" s="1452"/>
      <c r="AF631" s="1379"/>
      <c r="AG631" s="1380"/>
      <c r="AH631" s="1380"/>
      <c r="AI631" s="1380"/>
      <c r="AJ631" s="1381"/>
      <c r="AK631" s="1459"/>
      <c r="AL631" s="1460"/>
      <c r="AM631" s="1460"/>
      <c r="AN631" s="1461"/>
      <c r="AO631" s="1394">
        <f>[1]EVERYTHING!$C$13</f>
        <v>1000000</v>
      </c>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593</v>
      </c>
      <c r="C632" s="1448"/>
      <c r="D632" s="1448"/>
      <c r="E632" s="1448"/>
      <c r="F632" s="1448"/>
      <c r="G632" s="1448"/>
      <c r="H632" s="1448"/>
      <c r="I632" s="1448"/>
      <c r="J632" s="1448"/>
      <c r="K632" s="1448"/>
      <c r="L632" s="1448"/>
      <c r="M632" s="1447" t="s">
        <v>1291</v>
      </c>
      <c r="N632" s="1447"/>
      <c r="O632" s="1447"/>
      <c r="P632" s="1447"/>
      <c r="Q632" s="1456"/>
      <c r="R632" s="1457"/>
      <c r="S632" s="1458"/>
      <c r="T632" s="1456"/>
      <c r="U632" s="1457"/>
      <c r="V632" s="1458"/>
      <c r="W632" s="1453"/>
      <c r="X632" s="1454"/>
      <c r="Y632" s="1455"/>
      <c r="Z632" s="1494" t="s">
        <v>1291</v>
      </c>
      <c r="AA632" s="1495"/>
      <c r="AB632" s="1496"/>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3"/>
        <v/>
      </c>
      <c r="AU632" s="3"/>
      <c r="AZ632" s="3"/>
      <c r="BA632" s="3"/>
      <c r="BB632" s="3"/>
      <c r="BC632" s="3"/>
      <c r="BD632" s="3"/>
      <c r="BE632" s="3"/>
      <c r="BF632" s="3"/>
      <c r="BG632" s="1480">
        <f>SUM(BG597:BH631)</f>
        <v>72</v>
      </c>
      <c r="BH632" s="1482"/>
      <c r="BI632" s="3"/>
      <c r="BJ632" s="3"/>
      <c r="BK632" s="1480">
        <f>SUM(BK597:BL631)</f>
        <v>23</v>
      </c>
      <c r="BL632" s="1482"/>
      <c r="BM632" s="3"/>
      <c r="BN632" s="1480">
        <f>SUM(BN597:BR631)</f>
        <v>0</v>
      </c>
      <c r="BO632" s="1481"/>
      <c r="BP632" s="1481"/>
      <c r="BQ632" s="1481"/>
      <c r="BR632" s="1482"/>
      <c r="BS632" s="1489">
        <f>SUM(BS597:BW631)</f>
        <v>31</v>
      </c>
      <c r="BT632" s="1489"/>
      <c r="BU632" s="1489"/>
      <c r="BV632" s="1489"/>
      <c r="BW632" s="1489"/>
      <c r="BX632" s="1489">
        <f>SUM(BX597:CB631)</f>
        <v>34</v>
      </c>
      <c r="BY632" s="1489"/>
      <c r="BZ632" s="1489"/>
      <c r="CA632" s="1489"/>
      <c r="CB632" s="1489"/>
      <c r="CC632" s="1489">
        <f>SUM(CC597:CG631)</f>
        <v>26</v>
      </c>
      <c r="CD632" s="1489"/>
      <c r="CE632" s="1489"/>
      <c r="CF632" s="1489"/>
      <c r="CG632" s="1489"/>
      <c r="CH632" s="1489">
        <f>SUM(CH597:CL631)</f>
        <v>8</v>
      </c>
      <c r="CI632" s="1489"/>
      <c r="CJ632" s="1489"/>
      <c r="CK632" s="1489"/>
      <c r="CL632" s="1489"/>
      <c r="CM632" s="1489">
        <f>SUM(CM597:CQ631)</f>
        <v>0</v>
      </c>
      <c r="CN632" s="1489"/>
      <c r="CO632" s="1489"/>
      <c r="CP632" s="1489"/>
      <c r="CQ632" s="1489"/>
      <c r="CR632" s="385"/>
      <c r="CS632" s="1489">
        <f>SUM(CS597:CW631)</f>
        <v>0</v>
      </c>
      <c r="CT632" s="1489"/>
      <c r="CU632" s="1489"/>
      <c r="CV632" s="1489"/>
      <c r="CW632" s="1489"/>
      <c r="CX632" s="1489">
        <f>SUM(CX597:DB631)</f>
        <v>6</v>
      </c>
      <c r="CY632" s="1489"/>
      <c r="CZ632" s="1489"/>
      <c r="DA632" s="1489"/>
      <c r="DB632" s="1489"/>
      <c r="DC632" s="1489">
        <f>SUM(DC597:DG631)</f>
        <v>7</v>
      </c>
      <c r="DD632" s="1489"/>
      <c r="DE632" s="1489"/>
      <c r="DF632" s="1489"/>
      <c r="DG632" s="1489"/>
      <c r="DH632" s="1489">
        <f>SUM(DH597:DL631)</f>
        <v>7</v>
      </c>
      <c r="DI632" s="1489"/>
      <c r="DJ632" s="1489"/>
      <c r="DK632" s="1489"/>
      <c r="DL632" s="1489"/>
      <c r="DM632" s="1489">
        <f>SUM(DM597:DQ631)</f>
        <v>3</v>
      </c>
      <c r="DN632" s="1489"/>
      <c r="DO632" s="1489"/>
      <c r="DP632" s="1489"/>
      <c r="DQ632" s="1489"/>
      <c r="DR632" s="1489">
        <f>SUM(DR597:DV631)</f>
        <v>0</v>
      </c>
      <c r="DS632" s="1489"/>
      <c r="DT632" s="1489"/>
      <c r="DU632" s="1489"/>
      <c r="DV632" s="1489"/>
      <c r="DX632" s="1489">
        <f>SUM(DX597:EB631)</f>
        <v>0</v>
      </c>
      <c r="DY632" s="1489"/>
      <c r="DZ632" s="1489"/>
      <c r="EA632" s="1489"/>
      <c r="EB632" s="1489"/>
      <c r="EC632" s="1489">
        <f>SUM(EC597:EG631)</f>
        <v>3120</v>
      </c>
      <c r="ED632" s="1489"/>
      <c r="EE632" s="1489"/>
      <c r="EF632" s="1489"/>
      <c r="EG632" s="1489"/>
      <c r="EH632" s="1489">
        <f>SUM(EH597:EL631)</f>
        <v>3723</v>
      </c>
      <c r="EI632" s="1489"/>
      <c r="EJ632" s="1489"/>
      <c r="EK632" s="1489"/>
      <c r="EL632" s="1489"/>
      <c r="EM632" s="1489">
        <f>SUM(EM597:EQ631)</f>
        <v>5777</v>
      </c>
      <c r="EN632" s="1489"/>
      <c r="EO632" s="1489"/>
      <c r="EP632" s="1489"/>
      <c r="EQ632" s="1489"/>
      <c r="ER632" s="1489">
        <f>SUM(ER597:EV631)</f>
        <v>3064</v>
      </c>
      <c r="ES632" s="1489"/>
      <c r="ET632" s="1489"/>
      <c r="EU632" s="1489"/>
      <c r="EV632" s="1489"/>
      <c r="EW632" s="1489">
        <f>SUM(EW597:FA631)</f>
        <v>0</v>
      </c>
      <c r="EX632" s="1489"/>
      <c r="EY632" s="1489"/>
      <c r="EZ632" s="1489"/>
      <c r="FA632" s="1489"/>
    </row>
    <row r="633" spans="2:157" ht="12.95" customHeight="1">
      <c r="B633" s="52" t="s">
        <v>464</v>
      </c>
      <c r="C633" s="1448"/>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4" t="s">
        <v>1291</v>
      </c>
      <c r="AA633" s="1495"/>
      <c r="AB633" s="1496"/>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0">
        <f>BN632+BS632+BX632+CC632+CH632+CM632</f>
        <v>99</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4" t="s">
        <v>1291</v>
      </c>
      <c r="AA634" s="1495"/>
      <c r="AB634" s="1496"/>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31</v>
      </c>
      <c r="BX634" s="3"/>
      <c r="BY634" s="3"/>
      <c r="BZ634" s="3"/>
      <c r="CA634" s="3"/>
      <c r="CB634" s="895">
        <f>BX632*2</f>
        <v>68</v>
      </c>
      <c r="CC634" s="3"/>
      <c r="CD634" s="3"/>
      <c r="CE634" s="3"/>
      <c r="CF634" s="3"/>
      <c r="CG634" s="895">
        <f>CC632*3</f>
        <v>78</v>
      </c>
      <c r="CH634" s="3"/>
      <c r="CI634" s="3"/>
      <c r="CJ634" s="3"/>
      <c r="CK634" s="3"/>
      <c r="CL634" s="895">
        <f>CH632*4</f>
        <v>32</v>
      </c>
      <c r="CM634" s="3"/>
      <c r="CN634" s="3"/>
      <c r="CO634" s="3"/>
      <c r="CP634" s="3"/>
      <c r="CQ634" s="895">
        <f>CM632*5</f>
        <v>0</v>
      </c>
      <c r="CS634" s="895">
        <f>BR634+BW634+CB634+CG634+CL634+CQ634</f>
        <v>209</v>
      </c>
      <c r="CT634" s="57" t="s">
        <v>2055</v>
      </c>
      <c r="CU634" s="3"/>
      <c r="CV634" s="3"/>
      <c r="CW634" s="3"/>
      <c r="CX634" s="3"/>
      <c r="CY634" s="3"/>
      <c r="CZ634" s="3"/>
      <c r="DA634" s="3"/>
      <c r="DB634" s="3"/>
      <c r="DC634" s="3"/>
      <c r="DD634" s="3"/>
      <c r="DE634" s="3"/>
      <c r="DF634" s="3"/>
    </row>
    <row r="635" spans="2:157" ht="12.95"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4" t="s">
        <v>1291</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t="e">
        <f>DX597*(BN597/$BN$632)</f>
        <v>#VALUE!</v>
      </c>
      <c r="DY635" s="1473"/>
      <c r="DZ635" s="1473"/>
      <c r="EA635" s="1473"/>
      <c r="EB635" s="1473"/>
      <c r="EC635" s="1473">
        <f t="shared" ref="EC635:EC657" si="24">EC597*(BS597/$BS$632)</f>
        <v>73.354838709677423</v>
      </c>
      <c r="ED635" s="1473"/>
      <c r="EE635" s="1473"/>
      <c r="EF635" s="1473"/>
      <c r="EG635" s="1473"/>
      <c r="EH635" s="1473" t="e">
        <f t="shared" ref="EH635:EH657" si="25">EH597*(BX597/$BX$632)</f>
        <v>#VALUE!</v>
      </c>
      <c r="EI635" s="1473"/>
      <c r="EJ635" s="1473"/>
      <c r="EK635" s="1473"/>
      <c r="EL635" s="1473"/>
      <c r="EM635" s="1473" t="e">
        <f t="shared" ref="EM635:EM657" si="26">EM597*(CC597/$CC$632)</f>
        <v>#VALUE!</v>
      </c>
      <c r="EN635" s="1473"/>
      <c r="EO635" s="1473"/>
      <c r="EP635" s="1473"/>
      <c r="EQ635" s="1473"/>
      <c r="ER635" s="1473" t="e">
        <f t="shared" ref="ER635:ER657" si="27">ER597*(CH597/$CH$632)</f>
        <v>#VALUE!</v>
      </c>
      <c r="ES635" s="1473"/>
      <c r="ET635" s="1473"/>
      <c r="EU635" s="1473"/>
      <c r="EV635" s="1473"/>
      <c r="EW635" s="1473" t="e">
        <f t="shared" ref="EW635:EW657" si="28">EW597*(CM597/$CM$632)</f>
        <v>#VALUE!</v>
      </c>
      <c r="EX635" s="1473"/>
      <c r="EY635" s="1473"/>
      <c r="EZ635" s="1473"/>
      <c r="FA635" s="1473"/>
    </row>
    <row r="636" spans="2:157" ht="12.95"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4" t="s">
        <v>1291</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t="e">
        <f t="shared" ref="DX636:DX657" si="29">DX598*(BN598/$BN$632)</f>
        <v>#VALUE!</v>
      </c>
      <c r="DY636" s="1473"/>
      <c r="DZ636" s="1473"/>
      <c r="EA636" s="1473"/>
      <c r="EB636" s="1473"/>
      <c r="EC636" s="1473">
        <f t="shared" si="24"/>
        <v>53.612903225806448</v>
      </c>
      <c r="ED636" s="1473"/>
      <c r="EE636" s="1473"/>
      <c r="EF636" s="1473"/>
      <c r="EG636" s="1473"/>
      <c r="EH636" s="1473" t="e">
        <f t="shared" si="25"/>
        <v>#VALUE!</v>
      </c>
      <c r="EI636" s="1473"/>
      <c r="EJ636" s="1473"/>
      <c r="EK636" s="1473"/>
      <c r="EL636" s="1473"/>
      <c r="EM636" s="1473" t="e">
        <f t="shared" si="26"/>
        <v>#VALUE!</v>
      </c>
      <c r="EN636" s="1473"/>
      <c r="EO636" s="1473"/>
      <c r="EP636" s="1473"/>
      <c r="EQ636" s="1473"/>
      <c r="ER636" s="1473" t="e">
        <f t="shared" si="27"/>
        <v>#VALUE!</v>
      </c>
      <c r="ES636" s="1473"/>
      <c r="ET636" s="1473"/>
      <c r="EU636" s="1473"/>
      <c r="EV636" s="1473"/>
      <c r="EW636" s="1473" t="e">
        <f t="shared" si="28"/>
        <v>#VALUE!</v>
      </c>
      <c r="EX636" s="1473"/>
      <c r="EY636" s="1473"/>
      <c r="EZ636" s="1473"/>
      <c r="FA636" s="1473"/>
    </row>
    <row r="637" spans="2:157" ht="12.95"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4" t="s">
        <v>1291</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0</v>
      </c>
      <c r="BY637" s="1483"/>
      <c r="BZ637" s="1483"/>
      <c r="CA637" s="1483"/>
      <c r="CB637" s="1483"/>
      <c r="CC637" s="1483">
        <f>IF(J773="3 Bedrooms",O773,0)</f>
        <v>1</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3" t="e">
        <f t="shared" si="29"/>
        <v>#VALUE!</v>
      </c>
      <c r="DY637" s="1473"/>
      <c r="DZ637" s="1473"/>
      <c r="EA637" s="1473"/>
      <c r="EB637" s="1473"/>
      <c r="EC637" s="1473">
        <f t="shared" si="24"/>
        <v>339.54838709677421</v>
      </c>
      <c r="ED637" s="1473"/>
      <c r="EE637" s="1473"/>
      <c r="EF637" s="1473"/>
      <c r="EG637" s="1473"/>
      <c r="EH637" s="1473" t="e">
        <f t="shared" si="25"/>
        <v>#VALUE!</v>
      </c>
      <c r="EI637" s="1473"/>
      <c r="EJ637" s="1473"/>
      <c r="EK637" s="1473"/>
      <c r="EL637" s="1473"/>
      <c r="EM637" s="1473" t="e">
        <f t="shared" si="26"/>
        <v>#VALUE!</v>
      </c>
      <c r="EN637" s="1473"/>
      <c r="EO637" s="1473"/>
      <c r="EP637" s="1473"/>
      <c r="EQ637" s="1473"/>
      <c r="ER637" s="1473" t="e">
        <f t="shared" si="27"/>
        <v>#VALUE!</v>
      </c>
      <c r="ES637" s="1473"/>
      <c r="ET637" s="1473"/>
      <c r="EU637" s="1473"/>
      <c r="EV637" s="1473"/>
      <c r="EW637" s="1473" t="e">
        <f t="shared" si="28"/>
        <v>#VALUE!</v>
      </c>
      <c r="EX637" s="1473"/>
      <c r="EY637" s="1473"/>
      <c r="EZ637" s="1473"/>
      <c r="FA637" s="1473"/>
    </row>
    <row r="638" spans="2:157" ht="12.95"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4" t="s">
        <v>1291</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3" t="e">
        <f t="shared" si="29"/>
        <v>#VALUE!</v>
      </c>
      <c r="DY638" s="1473"/>
      <c r="DZ638" s="1473"/>
      <c r="EA638" s="1473"/>
      <c r="EB638" s="1473"/>
      <c r="EC638" s="1473">
        <f t="shared" si="24"/>
        <v>47.032258064516128</v>
      </c>
      <c r="ED638" s="1473"/>
      <c r="EE638" s="1473"/>
      <c r="EF638" s="1473"/>
      <c r="EG638" s="1473"/>
      <c r="EH638" s="1473" t="e">
        <f t="shared" si="25"/>
        <v>#VALUE!</v>
      </c>
      <c r="EI638" s="1473"/>
      <c r="EJ638" s="1473"/>
      <c r="EK638" s="1473"/>
      <c r="EL638" s="1473"/>
      <c r="EM638" s="1473" t="e">
        <f t="shared" si="26"/>
        <v>#VALUE!</v>
      </c>
      <c r="EN638" s="1473"/>
      <c r="EO638" s="1473"/>
      <c r="EP638" s="1473"/>
      <c r="EQ638" s="1473"/>
      <c r="ER638" s="1473" t="e">
        <f t="shared" si="27"/>
        <v>#VALUE!</v>
      </c>
      <c r="ES638" s="1473"/>
      <c r="ET638" s="1473"/>
      <c r="EU638" s="1473"/>
      <c r="EV638" s="1473"/>
      <c r="EW638" s="1473" t="e">
        <f t="shared" si="28"/>
        <v>#VALUE!</v>
      </c>
      <c r="EX638" s="1473"/>
      <c r="EY638" s="1473"/>
      <c r="EZ638" s="1473"/>
      <c r="FA638" s="1473"/>
    </row>
    <row r="639" spans="2:157" ht="12.9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32649822</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3" t="e">
        <f t="shared" si="29"/>
        <v>#VALUE!</v>
      </c>
      <c r="DY639" s="1473"/>
      <c r="DZ639" s="1473"/>
      <c r="EA639" s="1473"/>
      <c r="EB639" s="1473"/>
      <c r="EC639" s="1473">
        <f t="shared" si="24"/>
        <v>29.161290322580644</v>
      </c>
      <c r="ED639" s="1473"/>
      <c r="EE639" s="1473"/>
      <c r="EF639" s="1473"/>
      <c r="EG639" s="1473"/>
      <c r="EH639" s="1473" t="e">
        <f t="shared" si="25"/>
        <v>#VALUE!</v>
      </c>
      <c r="EI639" s="1473"/>
      <c r="EJ639" s="1473"/>
      <c r="EK639" s="1473"/>
      <c r="EL639" s="1473"/>
      <c r="EM639" s="1473" t="e">
        <f t="shared" si="26"/>
        <v>#VALUE!</v>
      </c>
      <c r="EN639" s="1473"/>
      <c r="EO639" s="1473"/>
      <c r="EP639" s="1473"/>
      <c r="EQ639" s="1473"/>
      <c r="ER639" s="1473" t="e">
        <f t="shared" si="27"/>
        <v>#VALUE!</v>
      </c>
      <c r="ES639" s="1473"/>
      <c r="ET639" s="1473"/>
      <c r="EU639" s="1473"/>
      <c r="EV639" s="1473"/>
      <c r="EW639" s="1473" t="e">
        <f t="shared" si="28"/>
        <v>#VALUE!</v>
      </c>
      <c r="EX639" s="1473"/>
      <c r="EY639" s="1473"/>
      <c r="EZ639" s="1473"/>
      <c r="FA639" s="1473"/>
    </row>
    <row r="640" spans="2:157" ht="12.95"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f>[1]EVERYTHING!$C$14-[1]EVERYTHING!$C$107</f>
        <v>44157919.537311003</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3" t="e">
        <f t="shared" si="29"/>
        <v>#VALUE!</v>
      </c>
      <c r="DY640" s="1473"/>
      <c r="DZ640" s="1473"/>
      <c r="EA640" s="1473"/>
      <c r="EB640" s="1473"/>
      <c r="EC640" s="1473" t="e">
        <f t="shared" si="24"/>
        <v>#VALUE!</v>
      </c>
      <c r="ED640" s="1473"/>
      <c r="EE640" s="1473"/>
      <c r="EF640" s="1473"/>
      <c r="EG640" s="1473"/>
      <c r="EH640" s="1473">
        <f t="shared" si="25"/>
        <v>92.85294117647058</v>
      </c>
      <c r="EI640" s="1473"/>
      <c r="EJ640" s="1473"/>
      <c r="EK640" s="1473"/>
      <c r="EL640" s="1473"/>
      <c r="EM640" s="1473" t="e">
        <f t="shared" si="26"/>
        <v>#VALUE!</v>
      </c>
      <c r="EN640" s="1473"/>
      <c r="EO640" s="1473"/>
      <c r="EP640" s="1473"/>
      <c r="EQ640" s="1473"/>
      <c r="ER640" s="1473" t="e">
        <f t="shared" si="27"/>
        <v>#VALUE!</v>
      </c>
      <c r="ES640" s="1473"/>
      <c r="ET640" s="1473"/>
      <c r="EU640" s="1473"/>
      <c r="EV640" s="1473"/>
      <c r="EW640" s="1473" t="e">
        <f t="shared" si="28"/>
        <v>#VALUE!</v>
      </c>
      <c r="EX640" s="1473"/>
      <c r="EY640" s="1473"/>
      <c r="EZ640" s="1473"/>
      <c r="FA640" s="1473"/>
    </row>
    <row r="641" spans="1:157" ht="12.95" customHeight="1">
      <c r="B641" s="1760" t="s">
        <v>269</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1"/>
      <c r="AO641" s="1364">
        <f>AO639+AO640</f>
        <v>76807741.537311003</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77">
        <f>SUM(BS637:BW640)</f>
        <v>0</v>
      </c>
      <c r="BT641" s="1478"/>
      <c r="BU641" s="1478"/>
      <c r="BV641" s="1478"/>
      <c r="BW641" s="1479"/>
      <c r="BX641" s="1477">
        <f>SUM(BX637:CB640)</f>
        <v>0</v>
      </c>
      <c r="BY641" s="1478"/>
      <c r="BZ641" s="1478"/>
      <c r="CA641" s="1478"/>
      <c r="CB641" s="1479"/>
      <c r="CC641" s="1477">
        <f>SUM(CC637:CG640)</f>
        <v>1</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1</v>
      </c>
      <c r="CT641" s="57" t="s">
        <v>2052</v>
      </c>
      <c r="CU641" s="3"/>
      <c r="CV641" s="3"/>
      <c r="CW641" s="3"/>
      <c r="CX641" s="3"/>
      <c r="CY641" s="3"/>
      <c r="CZ641" s="3"/>
      <c r="DA641" s="3"/>
      <c r="DB641" s="3"/>
      <c r="DC641" s="3"/>
      <c r="DD641" s="3"/>
      <c r="DE641" s="3"/>
      <c r="DF641" s="3"/>
      <c r="DX641" s="1473" t="e">
        <f t="shared" si="29"/>
        <v>#VALUE!</v>
      </c>
      <c r="DY641" s="1473"/>
      <c r="DZ641" s="1473"/>
      <c r="EA641" s="1473"/>
      <c r="EB641" s="1473"/>
      <c r="EC641" s="1473" t="e">
        <f t="shared" si="24"/>
        <v>#VALUE!</v>
      </c>
      <c r="ED641" s="1473"/>
      <c r="EE641" s="1473"/>
      <c r="EF641" s="1473"/>
      <c r="EG641" s="1473"/>
      <c r="EH641" s="1473">
        <f t="shared" si="25"/>
        <v>97.205882352941174</v>
      </c>
      <c r="EI641" s="1473"/>
      <c r="EJ641" s="1473"/>
      <c r="EK641" s="1473"/>
      <c r="EL641" s="1473"/>
      <c r="EM641" s="1473" t="e">
        <f t="shared" si="26"/>
        <v>#VALUE!</v>
      </c>
      <c r="EN641" s="1473"/>
      <c r="EO641" s="1473"/>
      <c r="EP641" s="1473"/>
      <c r="EQ641" s="1473"/>
      <c r="ER641" s="1473" t="e">
        <f t="shared" si="27"/>
        <v>#VALUE!</v>
      </c>
      <c r="ES641" s="1473"/>
      <c r="ET641" s="1473"/>
      <c r="EU641" s="1473"/>
      <c r="EV641" s="1473"/>
      <c r="EW641" s="1473" t="e">
        <f t="shared" si="28"/>
        <v>#VALUE!</v>
      </c>
      <c r="EX641" s="1473"/>
      <c r="EY641" s="1473"/>
      <c r="EZ641" s="1473"/>
      <c r="FA641" s="147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473" t="e">
        <f t="shared" si="29"/>
        <v>#VALUE!</v>
      </c>
      <c r="DY642" s="1473"/>
      <c r="DZ642" s="1473"/>
      <c r="EA642" s="1473"/>
      <c r="EB642" s="1473"/>
      <c r="EC642" s="1473" t="e">
        <f t="shared" si="24"/>
        <v>#VALUE!</v>
      </c>
      <c r="ED642" s="1473"/>
      <c r="EE642" s="1473"/>
      <c r="EF642" s="1473"/>
      <c r="EG642" s="1473"/>
      <c r="EH642" s="1473">
        <f t="shared" si="25"/>
        <v>349.94117647058823</v>
      </c>
      <c r="EI642" s="1473"/>
      <c r="EJ642" s="1473"/>
      <c r="EK642" s="1473"/>
      <c r="EL642" s="1473"/>
      <c r="EM642" s="1473" t="e">
        <f t="shared" si="26"/>
        <v>#VALUE!</v>
      </c>
      <c r="EN642" s="1473"/>
      <c r="EO642" s="1473"/>
      <c r="EP642" s="1473"/>
      <c r="EQ642" s="1473"/>
      <c r="ER642" s="1473" t="e">
        <f t="shared" si="27"/>
        <v>#VALUE!</v>
      </c>
      <c r="ES642" s="1473"/>
      <c r="ET642" s="1473"/>
      <c r="EU642" s="1473"/>
      <c r="EV642" s="1473"/>
      <c r="EW642" s="1473" t="e">
        <f t="shared" si="28"/>
        <v>#VALUE!</v>
      </c>
      <c r="EX642" s="1473"/>
      <c r="EY642" s="1473"/>
      <c r="EZ642" s="1473"/>
      <c r="FA642" s="1473"/>
    </row>
    <row r="643" spans="1:157" ht="12.95" customHeight="1">
      <c r="A643" s="55" t="s">
        <v>112</v>
      </c>
      <c r="B643" t="s">
        <v>472</v>
      </c>
      <c r="G643" s="1449" t="str">
        <f>C627</f>
        <v xml:space="preserve">Bank of America, N.A. </v>
      </c>
      <c r="H643" s="1449"/>
      <c r="I643" s="1449"/>
      <c r="J643" s="1449"/>
      <c r="K643" s="1449"/>
      <c r="L643" s="1449"/>
      <c r="M643" s="1449"/>
      <c r="N643" s="1449"/>
      <c r="O643" s="1449"/>
      <c r="P643" s="1449"/>
      <c r="Q643" s="1449"/>
      <c r="R643" s="1449"/>
      <c r="S643" s="8"/>
      <c r="T643" s="55" t="s">
        <v>113</v>
      </c>
      <c r="U643" t="s">
        <v>472</v>
      </c>
      <c r="Z643" s="1449" t="str">
        <f>C628</f>
        <v>HCD-MHP</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29"/>
        <v>#VALUE!</v>
      </c>
      <c r="DY643" s="1473"/>
      <c r="DZ643" s="1473"/>
      <c r="EA643" s="1473"/>
      <c r="EB643" s="1473"/>
      <c r="EC643" s="1473" t="e">
        <f t="shared" si="24"/>
        <v>#VALUE!</v>
      </c>
      <c r="ED643" s="1473"/>
      <c r="EE643" s="1473"/>
      <c r="EF643" s="1473"/>
      <c r="EG643" s="1473"/>
      <c r="EH643" s="1473">
        <f t="shared" si="25"/>
        <v>76.764705882352942</v>
      </c>
      <c r="EI643" s="1473"/>
      <c r="EJ643" s="1473"/>
      <c r="EK643" s="1473"/>
      <c r="EL643" s="1473"/>
      <c r="EM643" s="1473" t="e">
        <f t="shared" si="26"/>
        <v>#VALUE!</v>
      </c>
      <c r="EN643" s="1473"/>
      <c r="EO643" s="1473"/>
      <c r="EP643" s="1473"/>
      <c r="EQ643" s="1473"/>
      <c r="ER643" s="1473" t="e">
        <f t="shared" si="27"/>
        <v>#VALUE!</v>
      </c>
      <c r="ES643" s="1473"/>
      <c r="ET643" s="1473"/>
      <c r="EU643" s="1473"/>
      <c r="EV643" s="1473"/>
      <c r="EW643" s="1473" t="e">
        <f t="shared" si="28"/>
        <v>#VALUE!</v>
      </c>
      <c r="EX643" s="1473"/>
      <c r="EY643" s="1473"/>
      <c r="EZ643" s="1473"/>
      <c r="FA643" s="1473"/>
    </row>
    <row r="644" spans="1:157" ht="12.95" customHeight="1">
      <c r="A644" s="22"/>
      <c r="B644" t="s">
        <v>85</v>
      </c>
      <c r="G644" s="1404" t="s">
        <v>2751</v>
      </c>
      <c r="H644" s="1404"/>
      <c r="I644" s="1404"/>
      <c r="J644" s="1404"/>
      <c r="K644" s="1404"/>
      <c r="L644" s="1404"/>
      <c r="M644" s="1404"/>
      <c r="N644" s="1404"/>
      <c r="O644" s="1404"/>
      <c r="P644" s="1404"/>
      <c r="Q644" s="1404"/>
      <c r="R644" s="1404"/>
      <c r="S644" s="8"/>
      <c r="T644" s="22"/>
      <c r="U644" t="s">
        <v>85</v>
      </c>
      <c r="Z644" s="1404" t="s">
        <v>2757</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3" t="e">
        <f t="shared" si="29"/>
        <v>#VALUE!</v>
      </c>
      <c r="DY644" s="1473"/>
      <c r="DZ644" s="1473"/>
      <c r="EA644" s="1473"/>
      <c r="EB644" s="1473"/>
      <c r="EC644" s="1473" t="e">
        <f t="shared" si="24"/>
        <v>#VALUE!</v>
      </c>
      <c r="ED644" s="1473"/>
      <c r="EE644" s="1473"/>
      <c r="EF644" s="1473"/>
      <c r="EG644" s="1473"/>
      <c r="EH644" s="1473">
        <f t="shared" si="25"/>
        <v>31.764705882352942</v>
      </c>
      <c r="EI644" s="1473"/>
      <c r="EJ644" s="1473"/>
      <c r="EK644" s="1473"/>
      <c r="EL644" s="1473"/>
      <c r="EM644" s="1473" t="e">
        <f t="shared" si="26"/>
        <v>#VALUE!</v>
      </c>
      <c r="EN644" s="1473"/>
      <c r="EO644" s="1473"/>
      <c r="EP644" s="1473"/>
      <c r="EQ644" s="1473"/>
      <c r="ER644" s="1473" t="e">
        <f t="shared" si="27"/>
        <v>#VALUE!</v>
      </c>
      <c r="ES644" s="1473"/>
      <c r="ET644" s="1473"/>
      <c r="EU644" s="1473"/>
      <c r="EV644" s="1473"/>
      <c r="EW644" s="1473" t="e">
        <f t="shared" si="28"/>
        <v>#VALUE!</v>
      </c>
      <c r="EX644" s="1473"/>
      <c r="EY644" s="1473"/>
      <c r="EZ644" s="1473"/>
      <c r="FA644" s="1473"/>
    </row>
    <row r="645" spans="1:157" ht="12.95" customHeight="1">
      <c r="A645" s="22"/>
      <c r="B645" t="s">
        <v>589</v>
      </c>
      <c r="G645" s="1404" t="s">
        <v>503</v>
      </c>
      <c r="H645" s="1404"/>
      <c r="I645" s="1404"/>
      <c r="J645" s="1404"/>
      <c r="K645" s="1404"/>
      <c r="L645" s="1404"/>
      <c r="M645" s="1404"/>
      <c r="N645" s="1404"/>
      <c r="O645" s="1404"/>
      <c r="P645" s="1404"/>
      <c r="Q645" s="1404"/>
      <c r="R645" s="1404"/>
      <c r="T645" s="22"/>
      <c r="U645" t="s">
        <v>589</v>
      </c>
      <c r="Z645" s="1405" t="s">
        <v>68</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3" t="e">
        <f t="shared" si="29"/>
        <v>#VALUE!</v>
      </c>
      <c r="DY645" s="1473"/>
      <c r="DZ645" s="1473"/>
      <c r="EA645" s="1473"/>
      <c r="EB645" s="1473"/>
      <c r="EC645" s="1473" t="e">
        <f t="shared" si="24"/>
        <v>#VALUE!</v>
      </c>
      <c r="ED645" s="1473"/>
      <c r="EE645" s="1473"/>
      <c r="EF645" s="1473"/>
      <c r="EG645" s="1473"/>
      <c r="EH645" s="1473" t="e">
        <f t="shared" si="25"/>
        <v>#VALUE!</v>
      </c>
      <c r="EI645" s="1473"/>
      <c r="EJ645" s="1473"/>
      <c r="EK645" s="1473"/>
      <c r="EL645" s="1473"/>
      <c r="EM645" s="1473">
        <f t="shared" si="26"/>
        <v>59.307692307692314</v>
      </c>
      <c r="EN645" s="1473"/>
      <c r="EO645" s="1473"/>
      <c r="EP645" s="1473"/>
      <c r="EQ645" s="1473"/>
      <c r="ER645" s="1473" t="e">
        <f t="shared" si="27"/>
        <v>#VALUE!</v>
      </c>
      <c r="ES645" s="1473"/>
      <c r="ET645" s="1473"/>
      <c r="EU645" s="1473"/>
      <c r="EV645" s="1473"/>
      <c r="EW645" s="1473" t="e">
        <f t="shared" si="28"/>
        <v>#VALUE!</v>
      </c>
      <c r="EX645" s="1473"/>
      <c r="EY645" s="1473"/>
      <c r="EZ645" s="1473"/>
      <c r="FA645" s="1473"/>
    </row>
    <row r="646" spans="1:157" ht="12.95" customHeight="1">
      <c r="A646" s="22"/>
      <c r="B646" t="s">
        <v>17</v>
      </c>
      <c r="G646" s="1404" t="s">
        <v>2752</v>
      </c>
      <c r="H646" s="1404"/>
      <c r="I646" s="1404"/>
      <c r="J646" s="1404"/>
      <c r="K646" s="1404"/>
      <c r="L646" s="1404"/>
      <c r="M646" s="1404"/>
      <c r="N646" s="1404"/>
      <c r="O646" s="1404"/>
      <c r="P646" s="1404"/>
      <c r="Q646" s="1404"/>
      <c r="R646" s="1404"/>
      <c r="S646" s="8"/>
      <c r="T646" s="22"/>
      <c r="U646" t="s">
        <v>17</v>
      </c>
      <c r="Z646" s="1405" t="s">
        <v>2758</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3" t="e">
        <f t="shared" si="29"/>
        <v>#VALUE!</v>
      </c>
      <c r="DY646" s="1473"/>
      <c r="DZ646" s="1473"/>
      <c r="EA646" s="1473"/>
      <c r="EB646" s="1473"/>
      <c r="EC646" s="1473" t="e">
        <f t="shared" si="24"/>
        <v>#VALUE!</v>
      </c>
      <c r="ED646" s="1473"/>
      <c r="EE646" s="1473"/>
      <c r="EF646" s="1473"/>
      <c r="EG646" s="1473"/>
      <c r="EH646" s="1473" t="e">
        <f t="shared" si="25"/>
        <v>#VALUE!</v>
      </c>
      <c r="EI646" s="1473"/>
      <c r="EJ646" s="1473"/>
      <c r="EK646" s="1473"/>
      <c r="EL646" s="1473"/>
      <c r="EM646" s="1473">
        <f t="shared" si="26"/>
        <v>79.07692307692308</v>
      </c>
      <c r="EN646" s="1473"/>
      <c r="EO646" s="1473"/>
      <c r="EP646" s="1473"/>
      <c r="EQ646" s="1473"/>
      <c r="ER646" s="1473" t="e">
        <f t="shared" si="27"/>
        <v>#VALUE!</v>
      </c>
      <c r="ES646" s="1473"/>
      <c r="ET646" s="1473"/>
      <c r="EU646" s="1473"/>
      <c r="EV646" s="1473"/>
      <c r="EW646" s="1473" t="e">
        <f t="shared" si="28"/>
        <v>#VALUE!</v>
      </c>
      <c r="EX646" s="1473"/>
      <c r="EY646" s="1473"/>
      <c r="EZ646" s="1473"/>
      <c r="FA646" s="1473"/>
    </row>
    <row r="647" spans="1:157" ht="12.95" customHeight="1">
      <c r="A647" s="22"/>
      <c r="B647" t="s">
        <v>317</v>
      </c>
      <c r="G647" s="1685" t="s">
        <v>2753</v>
      </c>
      <c r="H647" s="1474"/>
      <c r="I647" s="1474"/>
      <c r="J647" s="1474"/>
      <c r="K647" s="1474"/>
      <c r="L647" s="1474"/>
      <c r="O647" s="33" t="s">
        <v>207</v>
      </c>
      <c r="P647" s="1487"/>
      <c r="Q647" s="1487"/>
      <c r="R647" s="1487"/>
      <c r="S647" s="10"/>
      <c r="T647" s="22"/>
      <c r="U647" t="s">
        <v>317</v>
      </c>
      <c r="Z647" s="1685" t="s">
        <v>2759</v>
      </c>
      <c r="AA647" s="1474"/>
      <c r="AB647" s="1474"/>
      <c r="AC647" s="1474"/>
      <c r="AD647" s="1474"/>
      <c r="AE647" s="1474"/>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3" t="e">
        <f t="shared" si="29"/>
        <v>#VALUE!</v>
      </c>
      <c r="DY647" s="1473"/>
      <c r="DZ647" s="1473"/>
      <c r="EA647" s="1473"/>
      <c r="EB647" s="1473"/>
      <c r="EC647" s="1473" t="e">
        <f t="shared" si="24"/>
        <v>#VALUE!</v>
      </c>
      <c r="ED647" s="1473"/>
      <c r="EE647" s="1473"/>
      <c r="EF647" s="1473"/>
      <c r="EG647" s="1473"/>
      <c r="EH647" s="1473" t="e">
        <f t="shared" si="25"/>
        <v>#VALUE!</v>
      </c>
      <c r="EI647" s="1473"/>
      <c r="EJ647" s="1473"/>
      <c r="EK647" s="1473"/>
      <c r="EL647" s="1473"/>
      <c r="EM647" s="1473">
        <f t="shared" si="26"/>
        <v>232.61538461538464</v>
      </c>
      <c r="EN647" s="1473"/>
      <c r="EO647" s="1473"/>
      <c r="EP647" s="1473"/>
      <c r="EQ647" s="1473"/>
      <c r="ER647" s="1473" t="e">
        <f t="shared" si="27"/>
        <v>#VALUE!</v>
      </c>
      <c r="ES647" s="1473"/>
      <c r="ET647" s="1473"/>
      <c r="EU647" s="1473"/>
      <c r="EV647" s="1473"/>
      <c r="EW647" s="1473" t="e">
        <f t="shared" si="28"/>
        <v>#VALUE!</v>
      </c>
      <c r="EX647" s="1473"/>
      <c r="EY647" s="1473"/>
      <c r="EZ647" s="1473"/>
      <c r="FA647" s="1473"/>
    </row>
    <row r="648" spans="1:157" ht="12.95" customHeight="1">
      <c r="A648" s="22"/>
      <c r="B648" t="s">
        <v>18</v>
      </c>
      <c r="H648" s="1404" t="s">
        <v>2774</v>
      </c>
      <c r="I648" s="1404"/>
      <c r="J648" s="1404"/>
      <c r="K648" s="1404"/>
      <c r="L648" s="1404"/>
      <c r="M648" s="1404"/>
      <c r="N648" s="1404"/>
      <c r="O648" s="1404"/>
      <c r="P648" s="1404"/>
      <c r="Q648" s="1404"/>
      <c r="R648" s="1404"/>
      <c r="S648" s="8"/>
      <c r="T648" s="22"/>
      <c r="U648" t="s">
        <v>18</v>
      </c>
      <c r="AA648" s="1404" t="s">
        <v>2775</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3" t="e">
        <f t="shared" si="29"/>
        <v>#VALUE!</v>
      </c>
      <c r="DY648" s="1473"/>
      <c r="DZ648" s="1473"/>
      <c r="EA648" s="1473"/>
      <c r="EB648" s="1473"/>
      <c r="EC648" s="1473" t="e">
        <f t="shared" si="24"/>
        <v>#VALUE!</v>
      </c>
      <c r="ED648" s="1473"/>
      <c r="EE648" s="1473"/>
      <c r="EF648" s="1473"/>
      <c r="EG648" s="1473"/>
      <c r="EH648" s="1473" t="e">
        <f t="shared" si="25"/>
        <v>#VALUE!</v>
      </c>
      <c r="EI648" s="1473"/>
      <c r="EJ648" s="1473"/>
      <c r="EK648" s="1473"/>
      <c r="EL648" s="1473"/>
      <c r="EM648" s="1473">
        <f t="shared" si="26"/>
        <v>116.30769230769232</v>
      </c>
      <c r="EN648" s="1473"/>
      <c r="EO648" s="1473"/>
      <c r="EP648" s="1473"/>
      <c r="EQ648" s="1473"/>
      <c r="ER648" s="1473" t="e">
        <f t="shared" si="27"/>
        <v>#VALUE!</v>
      </c>
      <c r="ES648" s="1473"/>
      <c r="ET648" s="1473"/>
      <c r="EU648" s="1473"/>
      <c r="EV648" s="1473"/>
      <c r="EW648" s="1473" t="e">
        <f t="shared" si="28"/>
        <v>#VALUE!</v>
      </c>
      <c r="EX648" s="1473"/>
      <c r="EY648" s="1473"/>
      <c r="EZ648" s="1473"/>
      <c r="FA648" s="1473"/>
    </row>
    <row r="649" spans="1:157" ht="12.95"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3" t="e">
        <f t="shared" si="29"/>
        <v>#VALUE!</v>
      </c>
      <c r="DY649" s="1473"/>
      <c r="DZ649" s="1473"/>
      <c r="EA649" s="1473"/>
      <c r="EB649" s="1473"/>
      <c r="EC649" s="1473" t="e">
        <f t="shared" si="24"/>
        <v>#VALUE!</v>
      </c>
      <c r="ED649" s="1473"/>
      <c r="EE649" s="1473"/>
      <c r="EF649" s="1473"/>
      <c r="EG649" s="1473"/>
      <c r="EH649" s="1473" t="e">
        <f t="shared" si="25"/>
        <v>#VALUE!</v>
      </c>
      <c r="EI649" s="1473"/>
      <c r="EJ649" s="1473"/>
      <c r="EK649" s="1473"/>
      <c r="EL649" s="1473"/>
      <c r="EM649" s="1473">
        <f t="shared" si="26"/>
        <v>115.15384615384616</v>
      </c>
      <c r="EN649" s="1473"/>
      <c r="EO649" s="1473"/>
      <c r="EP649" s="1473"/>
      <c r="EQ649" s="1473"/>
      <c r="ER649" s="1473" t="e">
        <f t="shared" si="27"/>
        <v>#VALUE!</v>
      </c>
      <c r="ES649" s="1473"/>
      <c r="ET649" s="1473"/>
      <c r="EU649" s="1473"/>
      <c r="EV649" s="1473"/>
      <c r="EW649" s="1473" t="e">
        <f t="shared" si="28"/>
        <v>#VALUE!</v>
      </c>
      <c r="EX649" s="1473"/>
      <c r="EY649" s="1473"/>
      <c r="EZ649" s="1473"/>
      <c r="FA649" s="1473"/>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3" t="e">
        <f t="shared" si="29"/>
        <v>#VALUE!</v>
      </c>
      <c r="DY650" s="1473"/>
      <c r="DZ650" s="1473"/>
      <c r="EA650" s="1473"/>
      <c r="EB650" s="1473"/>
      <c r="EC650" s="1473" t="e">
        <f t="shared" si="24"/>
        <v>#VALUE!</v>
      </c>
      <c r="ED650" s="1473"/>
      <c r="EE650" s="1473"/>
      <c r="EF650" s="1473"/>
      <c r="EG650" s="1473"/>
      <c r="EH650" s="1473" t="e">
        <f t="shared" si="25"/>
        <v>#VALUE!</v>
      </c>
      <c r="EI650" s="1473"/>
      <c r="EJ650" s="1473"/>
      <c r="EK650" s="1473"/>
      <c r="EL650" s="1473"/>
      <c r="EM650" s="1473">
        <f t="shared" si="26"/>
        <v>76.769230769230774</v>
      </c>
      <c r="EN650" s="1473"/>
      <c r="EO650" s="1473"/>
      <c r="EP650" s="1473"/>
      <c r="EQ650" s="1473"/>
      <c r="ER650" s="1473" t="e">
        <f t="shared" si="27"/>
        <v>#VALUE!</v>
      </c>
      <c r="ES650" s="1473"/>
      <c r="ET650" s="1473"/>
      <c r="EU650" s="1473"/>
      <c r="EV650" s="1473"/>
      <c r="EW650" s="1473" t="e">
        <f t="shared" si="28"/>
        <v>#VALUE!</v>
      </c>
      <c r="EX650" s="1473"/>
      <c r="EY650" s="1473"/>
      <c r="EZ650" s="1473"/>
      <c r="FA650" s="1473"/>
    </row>
    <row r="651" spans="1:157" ht="12.95" customHeight="1">
      <c r="A651" s="55" t="s">
        <v>119</v>
      </c>
      <c r="B651" t="s">
        <v>472</v>
      </c>
      <c r="G651" s="1449" t="str">
        <f>C629</f>
        <v>HCD-FWHG</v>
      </c>
      <c r="H651" s="1449"/>
      <c r="I651" s="1449"/>
      <c r="J651" s="1449"/>
      <c r="K651" s="1449"/>
      <c r="L651" s="1449"/>
      <c r="M651" s="1449"/>
      <c r="N651" s="1449"/>
      <c r="O651" s="1449"/>
      <c r="P651" s="1449"/>
      <c r="Q651" s="1449"/>
      <c r="R651" s="1449"/>
      <c r="T651" s="55" t="s">
        <v>590</v>
      </c>
      <c r="U651" t="s">
        <v>472</v>
      </c>
      <c r="Z651" s="1449" t="str">
        <f>C630</f>
        <v>Deferred Developer Fee</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3" t="e">
        <f t="shared" si="29"/>
        <v>#VALUE!</v>
      </c>
      <c r="DY651" s="1473"/>
      <c r="DZ651" s="1473"/>
      <c r="EA651" s="1473"/>
      <c r="EB651" s="1473"/>
      <c r="EC651" s="1473" t="e">
        <f t="shared" si="24"/>
        <v>#VALUE!</v>
      </c>
      <c r="ED651" s="1473"/>
      <c r="EE651" s="1473"/>
      <c r="EF651" s="1473"/>
      <c r="EG651" s="1473"/>
      <c r="EH651" s="1473" t="e">
        <f t="shared" si="25"/>
        <v>#VALUE!</v>
      </c>
      <c r="EI651" s="1473"/>
      <c r="EJ651" s="1473"/>
      <c r="EK651" s="1473"/>
      <c r="EL651" s="1473"/>
      <c r="EM651" s="1473">
        <f t="shared" si="26"/>
        <v>95.461538461538467</v>
      </c>
      <c r="EN651" s="1473"/>
      <c r="EO651" s="1473"/>
      <c r="EP651" s="1473"/>
      <c r="EQ651" s="1473"/>
      <c r="ER651" s="1473" t="e">
        <f t="shared" si="27"/>
        <v>#VALUE!</v>
      </c>
      <c r="ES651" s="1473"/>
      <c r="ET651" s="1473"/>
      <c r="EU651" s="1473"/>
      <c r="EV651" s="1473"/>
      <c r="EW651" s="1473" t="e">
        <f t="shared" si="28"/>
        <v>#VALUE!</v>
      </c>
      <c r="EX651" s="1473"/>
      <c r="EY651" s="1473"/>
      <c r="EZ651" s="1473"/>
      <c r="FA651" s="1473"/>
    </row>
    <row r="652" spans="1:157" ht="12.95" customHeight="1">
      <c r="A652" s="22"/>
      <c r="B652" t="s">
        <v>85</v>
      </c>
      <c r="G652" s="1404" t="s">
        <v>2757</v>
      </c>
      <c r="H652" s="1404"/>
      <c r="I652" s="1404"/>
      <c r="J652" s="1404"/>
      <c r="K652" s="1404"/>
      <c r="L652" s="1404"/>
      <c r="M652" s="1404"/>
      <c r="N652" s="1404"/>
      <c r="O652" s="1404"/>
      <c r="P652" s="1404"/>
      <c r="Q652" s="1404"/>
      <c r="R652" s="1404"/>
      <c r="T652" s="22"/>
      <c r="U652" t="s">
        <v>85</v>
      </c>
      <c r="Z652" s="1404"/>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3" t="e">
        <f t="shared" si="29"/>
        <v>#VALUE!</v>
      </c>
      <c r="DY652" s="1473"/>
      <c r="DZ652" s="1473"/>
      <c r="EA652" s="1473"/>
      <c r="EB652" s="1473"/>
      <c r="EC652" s="1473" t="e">
        <f t="shared" si="24"/>
        <v>#VALUE!</v>
      </c>
      <c r="ED652" s="1473"/>
      <c r="EE652" s="1473"/>
      <c r="EF652" s="1473"/>
      <c r="EG652" s="1473"/>
      <c r="EH652" s="1473" t="e">
        <f t="shared" si="25"/>
        <v>#VALUE!</v>
      </c>
      <c r="EI652" s="1473"/>
      <c r="EJ652" s="1473"/>
      <c r="EK652" s="1473"/>
      <c r="EL652" s="1473"/>
      <c r="EM652" s="1473" t="e">
        <f t="shared" si="26"/>
        <v>#VALUE!</v>
      </c>
      <c r="EN652" s="1473"/>
      <c r="EO652" s="1473"/>
      <c r="EP652" s="1473"/>
      <c r="EQ652" s="1473"/>
      <c r="ER652" s="1473">
        <f t="shared" si="27"/>
        <v>70.375</v>
      </c>
      <c r="ES652" s="1473"/>
      <c r="ET652" s="1473"/>
      <c r="EU652" s="1473"/>
      <c r="EV652" s="1473"/>
      <c r="EW652" s="1473" t="e">
        <f t="shared" si="28"/>
        <v>#VALUE!</v>
      </c>
      <c r="EX652" s="1473"/>
      <c r="EY652" s="1473"/>
      <c r="EZ652" s="1473"/>
      <c r="FA652" s="1473"/>
    </row>
    <row r="653" spans="1:157" ht="12.95" customHeight="1">
      <c r="A653" s="22"/>
      <c r="B653" t="s">
        <v>589</v>
      </c>
      <c r="G653" s="1405" t="s">
        <v>68</v>
      </c>
      <c r="H653" s="1405"/>
      <c r="I653" s="1405"/>
      <c r="J653" s="1405"/>
      <c r="K653" s="1405"/>
      <c r="L653" s="1405"/>
      <c r="M653" s="1405"/>
      <c r="N653" s="1405"/>
      <c r="O653" s="1405"/>
      <c r="P653" s="1405"/>
      <c r="Q653" s="1405"/>
      <c r="R653" s="1405"/>
      <c r="T653" s="22"/>
      <c r="U653" t="s">
        <v>589</v>
      </c>
      <c r="Z653" s="1405"/>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3" t="e">
        <f t="shared" si="29"/>
        <v>#VALUE!</v>
      </c>
      <c r="DY653" s="1473"/>
      <c r="DZ653" s="1473"/>
      <c r="EA653" s="1473"/>
      <c r="EB653" s="1473"/>
      <c r="EC653" s="1473" t="e">
        <f t="shared" si="24"/>
        <v>#VALUE!</v>
      </c>
      <c r="ED653" s="1473"/>
      <c r="EE653" s="1473"/>
      <c r="EF653" s="1473"/>
      <c r="EG653" s="1473"/>
      <c r="EH653" s="1473" t="e">
        <f t="shared" si="25"/>
        <v>#VALUE!</v>
      </c>
      <c r="EI653" s="1473"/>
      <c r="EJ653" s="1473"/>
      <c r="EK653" s="1473"/>
      <c r="EL653" s="1473"/>
      <c r="EM653" s="1473" t="e">
        <f t="shared" si="26"/>
        <v>#VALUE!</v>
      </c>
      <c r="EN653" s="1473"/>
      <c r="EO653" s="1473"/>
      <c r="EP653" s="1473"/>
      <c r="EQ653" s="1473"/>
      <c r="ER653" s="1473">
        <f t="shared" si="27"/>
        <v>140.75</v>
      </c>
      <c r="ES653" s="1473"/>
      <c r="ET653" s="1473"/>
      <c r="EU653" s="1473"/>
      <c r="EV653" s="1473"/>
      <c r="EW653" s="1473" t="e">
        <f t="shared" si="28"/>
        <v>#VALUE!</v>
      </c>
      <c r="EX653" s="1473"/>
      <c r="EY653" s="1473"/>
      <c r="EZ653" s="1473"/>
      <c r="FA653" s="1473"/>
    </row>
    <row r="654" spans="1:157" ht="12.95" customHeight="1">
      <c r="A654" s="22"/>
      <c r="B654" t="s">
        <v>17</v>
      </c>
      <c r="G654" s="1405" t="s">
        <v>2758</v>
      </c>
      <c r="H654" s="1405"/>
      <c r="I654" s="1405"/>
      <c r="J654" s="1405"/>
      <c r="K654" s="1405"/>
      <c r="L654" s="1405"/>
      <c r="M654" s="1405"/>
      <c r="N654" s="1405"/>
      <c r="O654" s="1405"/>
      <c r="P654" s="1405"/>
      <c r="Q654" s="1405"/>
      <c r="R654" s="1405"/>
      <c r="T654" s="22"/>
      <c r="U654" t="s">
        <v>17</v>
      </c>
      <c r="Z654" s="1405"/>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3" t="e">
        <f t="shared" si="29"/>
        <v>#VALUE!</v>
      </c>
      <c r="DY654" s="1473"/>
      <c r="DZ654" s="1473"/>
      <c r="EA654" s="1473"/>
      <c r="EB654" s="1473"/>
      <c r="EC654" s="1473" t="e">
        <f t="shared" si="24"/>
        <v>#VALUE!</v>
      </c>
      <c r="ED654" s="1473"/>
      <c r="EE654" s="1473"/>
      <c r="EF654" s="1473"/>
      <c r="EG654" s="1473"/>
      <c r="EH654" s="1473" t="e">
        <f t="shared" si="25"/>
        <v>#VALUE!</v>
      </c>
      <c r="EI654" s="1473"/>
      <c r="EJ654" s="1473"/>
      <c r="EK654" s="1473"/>
      <c r="EL654" s="1473"/>
      <c r="EM654" s="1473" t="e">
        <f t="shared" si="26"/>
        <v>#VALUE!</v>
      </c>
      <c r="EN654" s="1473"/>
      <c r="EO654" s="1473"/>
      <c r="EP654" s="1473"/>
      <c r="EQ654" s="1473"/>
      <c r="ER654" s="1473">
        <f t="shared" si="27"/>
        <v>208.5</v>
      </c>
      <c r="ES654" s="1473"/>
      <c r="ET654" s="1473"/>
      <c r="EU654" s="1473"/>
      <c r="EV654" s="1473"/>
      <c r="EW654" s="1473" t="e">
        <f t="shared" si="28"/>
        <v>#VALUE!</v>
      </c>
      <c r="EX654" s="1473"/>
      <c r="EY654" s="1473"/>
      <c r="EZ654" s="1473"/>
      <c r="FA654" s="1473"/>
    </row>
    <row r="655" spans="1:157" ht="12.95" customHeight="1">
      <c r="A655" s="22"/>
      <c r="B655" t="s">
        <v>317</v>
      </c>
      <c r="G655" s="1474">
        <v>9162632771</v>
      </c>
      <c r="H655" s="1474"/>
      <c r="I655" s="1474"/>
      <c r="J655" s="1474"/>
      <c r="K655" s="1474"/>
      <c r="L655" s="1474"/>
      <c r="O655" s="33" t="s">
        <v>207</v>
      </c>
      <c r="P655" s="1487"/>
      <c r="Q655" s="1487"/>
      <c r="R655" s="1487"/>
      <c r="T655" s="22"/>
      <c r="U655" t="s">
        <v>317</v>
      </c>
      <c r="Z655" s="1474"/>
      <c r="AA655" s="1474"/>
      <c r="AB655" s="1474"/>
      <c r="AC655" s="1474"/>
      <c r="AD655" s="1474"/>
      <c r="AE655" s="1474"/>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3" t="e">
        <f t="shared" si="29"/>
        <v>#VALUE!</v>
      </c>
      <c r="DY655" s="1473"/>
      <c r="DZ655" s="1473"/>
      <c r="EA655" s="1473"/>
      <c r="EB655" s="1473"/>
      <c r="EC655" s="1473" t="e">
        <f t="shared" si="24"/>
        <v>#VALUE!</v>
      </c>
      <c r="ED655" s="1473"/>
      <c r="EE655" s="1473"/>
      <c r="EF655" s="1473"/>
      <c r="EG655" s="1473"/>
      <c r="EH655" s="1473" t="e">
        <f t="shared" si="25"/>
        <v>#VALUE!</v>
      </c>
      <c r="EI655" s="1473"/>
      <c r="EJ655" s="1473"/>
      <c r="EK655" s="1473"/>
      <c r="EL655" s="1473"/>
      <c r="EM655" s="1473" t="e">
        <f t="shared" si="26"/>
        <v>#VALUE!</v>
      </c>
      <c r="EN655" s="1473"/>
      <c r="EO655" s="1473"/>
      <c r="EP655" s="1473"/>
      <c r="EQ655" s="1473"/>
      <c r="ER655" s="1473">
        <f t="shared" si="27"/>
        <v>414</v>
      </c>
      <c r="ES655" s="1473"/>
      <c r="ET655" s="1473"/>
      <c r="EU655" s="1473"/>
      <c r="EV655" s="1473"/>
      <c r="EW655" s="1473" t="e">
        <f t="shared" si="28"/>
        <v>#VALUE!</v>
      </c>
      <c r="EX655" s="1473"/>
      <c r="EY655" s="1473"/>
      <c r="EZ655" s="1473"/>
      <c r="FA655" s="1473"/>
    </row>
    <row r="656" spans="1:157" ht="12.95" customHeight="1">
      <c r="A656" s="22"/>
      <c r="B656" t="s">
        <v>18</v>
      </c>
      <c r="H656" s="1404" t="s">
        <v>2775</v>
      </c>
      <c r="I656" s="1404"/>
      <c r="J656" s="1404"/>
      <c r="K656" s="1404"/>
      <c r="L656" s="1404"/>
      <c r="M656" s="1404"/>
      <c r="N656" s="1404"/>
      <c r="O656" s="1404"/>
      <c r="P656" s="1404"/>
      <c r="Q656" s="1404"/>
      <c r="R656" s="1404"/>
      <c r="T656" s="22"/>
      <c r="U656" t="s">
        <v>18</v>
      </c>
      <c r="AA656" s="1404" t="s">
        <v>2776</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29"/>
        <v>#VALUE!</v>
      </c>
      <c r="DY656" s="1473"/>
      <c r="DZ656" s="1473"/>
      <c r="EA656" s="1473"/>
      <c r="EB656" s="1473"/>
      <c r="EC656" s="1473" t="e">
        <f t="shared" si="24"/>
        <v>#VALUE!</v>
      </c>
      <c r="ED656" s="1473"/>
      <c r="EE656" s="1473"/>
      <c r="EF656" s="1473"/>
      <c r="EG656" s="1473"/>
      <c r="EH656" s="1473" t="e">
        <f t="shared" si="25"/>
        <v>#VALUE!</v>
      </c>
      <c r="EI656" s="1473"/>
      <c r="EJ656" s="1473"/>
      <c r="EK656" s="1473"/>
      <c r="EL656" s="1473"/>
      <c r="EM656" s="1473" t="e">
        <f t="shared" si="26"/>
        <v>#VALUE!</v>
      </c>
      <c r="EN656" s="1473"/>
      <c r="EO656" s="1473"/>
      <c r="EP656" s="1473"/>
      <c r="EQ656" s="1473"/>
      <c r="ER656" s="1473" t="e">
        <f t="shared" si="27"/>
        <v>#VALUE!</v>
      </c>
      <c r="ES656" s="1473"/>
      <c r="ET656" s="1473"/>
      <c r="EU656" s="1473"/>
      <c r="EV656" s="1473"/>
      <c r="EW656" s="1473" t="e">
        <f t="shared" si="28"/>
        <v>#VALUE!</v>
      </c>
      <c r="EX656" s="1473"/>
      <c r="EY656" s="1473"/>
      <c r="EZ656" s="1473"/>
      <c r="FA656" s="1473"/>
    </row>
    <row r="657" spans="1:157" ht="12.95" customHeight="1">
      <c r="A657" s="22"/>
      <c r="B657" t="s">
        <v>20</v>
      </c>
      <c r="N657" s="1403" t="s">
        <v>554</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3">
        <f>SUM(CS655:DV655)</f>
        <v>0</v>
      </c>
      <c r="DS657" s="1473"/>
      <c r="DT657" s="1473"/>
      <c r="DU657" s="1473"/>
      <c r="DV657" s="1473"/>
      <c r="DX657" s="1473" t="e">
        <f t="shared" si="29"/>
        <v>#VALUE!</v>
      </c>
      <c r="DY657" s="1473"/>
      <c r="DZ657" s="1473"/>
      <c r="EA657" s="1473"/>
      <c r="EB657" s="1473"/>
      <c r="EC657" s="1473" t="e">
        <f t="shared" si="24"/>
        <v>#VALUE!</v>
      </c>
      <c r="ED657" s="1473"/>
      <c r="EE657" s="1473"/>
      <c r="EF657" s="1473"/>
      <c r="EG657" s="1473"/>
      <c r="EH657" s="1473" t="e">
        <f t="shared" si="25"/>
        <v>#VALUE!</v>
      </c>
      <c r="EI657" s="1473"/>
      <c r="EJ657" s="1473"/>
      <c r="EK657" s="1473"/>
      <c r="EL657" s="1473"/>
      <c r="EM657" s="1473" t="e">
        <f t="shared" si="26"/>
        <v>#VALUE!</v>
      </c>
      <c r="EN657" s="1473"/>
      <c r="EO657" s="1473"/>
      <c r="EP657" s="1473"/>
      <c r="EQ657" s="1473"/>
      <c r="ER657" s="1473" t="e">
        <f t="shared" si="27"/>
        <v>#VALUE!</v>
      </c>
      <c r="ES657" s="1473"/>
      <c r="ET657" s="1473"/>
      <c r="EU657" s="1473"/>
      <c r="EV657" s="1473"/>
      <c r="EW657" s="1473" t="e">
        <f t="shared" si="28"/>
        <v>#VALUE!</v>
      </c>
      <c r="EX657" s="1473"/>
      <c r="EY657" s="1473"/>
      <c r="EZ657" s="1473"/>
      <c r="FA657" s="147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3" t="e">
        <f t="shared" ref="DX658:DX667" si="42">DX620*(BN620/$BN$632)</f>
        <v>#VALUE!</v>
      </c>
      <c r="DY658" s="1473"/>
      <c r="DZ658" s="1473"/>
      <c r="EA658" s="1473"/>
      <c r="EB658" s="1473"/>
      <c r="EC658" s="1473" t="e">
        <f t="shared" ref="EC658:EC667" si="43">EC620*(BS620/$BS$632)</f>
        <v>#VALUE!</v>
      </c>
      <c r="ED658" s="1473"/>
      <c r="EE658" s="1473"/>
      <c r="EF658" s="1473"/>
      <c r="EG658" s="1473"/>
      <c r="EH658" s="1473" t="e">
        <f t="shared" ref="EH658:EH667" si="44">EH620*(BX620/$BX$632)</f>
        <v>#VALUE!</v>
      </c>
      <c r="EI658" s="1473"/>
      <c r="EJ658" s="1473"/>
      <c r="EK658" s="1473"/>
      <c r="EL658" s="1473"/>
      <c r="EM658" s="1473" t="e">
        <f t="shared" ref="EM658:EM667" si="45">EM620*(CC620/$CC$632)</f>
        <v>#VALUE!</v>
      </c>
      <c r="EN658" s="1473"/>
      <c r="EO658" s="1473"/>
      <c r="EP658" s="1473"/>
      <c r="EQ658" s="1473"/>
      <c r="ER658" s="1473" t="e">
        <f t="shared" ref="ER658:ER667" si="46">ER620*(CH620/$CH$632)</f>
        <v>#VALUE!</v>
      </c>
      <c r="ES658" s="1473"/>
      <c r="ET658" s="1473"/>
      <c r="EU658" s="1473"/>
      <c r="EV658" s="1473"/>
      <c r="EW658" s="1473" t="e">
        <f t="shared" ref="EW658:EW667" si="47">EW620*(CM620/$CM$632)</f>
        <v>#VALUE!</v>
      </c>
      <c r="EX658" s="1473"/>
      <c r="EY658" s="1473"/>
      <c r="EZ658" s="1473"/>
      <c r="FA658" s="1473"/>
    </row>
    <row r="659" spans="1:157" ht="12.95" customHeight="1">
      <c r="A659" s="55" t="s">
        <v>773</v>
      </c>
      <c r="B659" t="s">
        <v>472</v>
      </c>
      <c r="G659" s="1449" t="str">
        <f>C631</f>
        <v>GP Equity</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2"/>
        <v>#VALUE!</v>
      </c>
      <c r="DY659" s="1473"/>
      <c r="DZ659" s="1473"/>
      <c r="EA659" s="1473"/>
      <c r="EB659" s="1473"/>
      <c r="EC659" s="1473" t="e">
        <f t="shared" si="43"/>
        <v>#VALUE!</v>
      </c>
      <c r="ED659" s="1473"/>
      <c r="EE659" s="1473"/>
      <c r="EF659" s="1473"/>
      <c r="EG659" s="1473"/>
      <c r="EH659" s="1473" t="e">
        <f t="shared" si="44"/>
        <v>#VALUE!</v>
      </c>
      <c r="EI659" s="1473"/>
      <c r="EJ659" s="1473"/>
      <c r="EK659" s="1473"/>
      <c r="EL659" s="1473"/>
      <c r="EM659" s="1473" t="e">
        <f t="shared" si="45"/>
        <v>#VALUE!</v>
      </c>
      <c r="EN659" s="1473"/>
      <c r="EO659" s="1473"/>
      <c r="EP659" s="1473"/>
      <c r="EQ659" s="1473"/>
      <c r="ER659" s="1473" t="e">
        <f t="shared" si="46"/>
        <v>#VALUE!</v>
      </c>
      <c r="ES659" s="1473"/>
      <c r="ET659" s="1473"/>
      <c r="EU659" s="1473"/>
      <c r="EV659" s="1473"/>
      <c r="EW659" s="1473" t="e">
        <f t="shared" si="47"/>
        <v>#VALUE!</v>
      </c>
      <c r="EX659" s="1473"/>
      <c r="EY659" s="1473"/>
      <c r="EZ659" s="1473"/>
      <c r="FA659" s="1473"/>
    </row>
    <row r="660" spans="1:157" ht="12.95" customHeight="1">
      <c r="A660" s="22"/>
      <c r="B660" t="s">
        <v>85</v>
      </c>
      <c r="G660" s="1404"/>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0</v>
      </c>
      <c r="BO660" s="1478"/>
      <c r="BP660" s="1478"/>
      <c r="BQ660" s="1478"/>
      <c r="BR660" s="1479"/>
      <c r="BS660" s="1477">
        <f>BS632+BS641+BS655</f>
        <v>31</v>
      </c>
      <c r="BT660" s="1478"/>
      <c r="BU660" s="1478"/>
      <c r="BV660" s="1478"/>
      <c r="BW660" s="1479"/>
      <c r="BX660" s="1477">
        <f>BX632+BX641+BX655</f>
        <v>34</v>
      </c>
      <c r="BY660" s="1478"/>
      <c r="BZ660" s="1478"/>
      <c r="CA660" s="1478"/>
      <c r="CB660" s="1479"/>
      <c r="CC660" s="1477">
        <f>CC632+CC641+CC655</f>
        <v>27</v>
      </c>
      <c r="CD660" s="1478"/>
      <c r="CE660" s="1478"/>
      <c r="CF660" s="1478"/>
      <c r="CG660" s="1479"/>
      <c r="CH660" s="1477">
        <f>CH632+CH641+CH655</f>
        <v>8</v>
      </c>
      <c r="CI660" s="1478"/>
      <c r="CJ660" s="1478"/>
      <c r="CK660" s="1478"/>
      <c r="CL660" s="1479"/>
      <c r="CM660" s="1480">
        <f>CM655+CM641+CM632</f>
        <v>0</v>
      </c>
      <c r="CN660" s="1481"/>
      <c r="CO660" s="1481"/>
      <c r="CP660" s="1481"/>
      <c r="CQ660" s="1482"/>
      <c r="CR660" s="3"/>
      <c r="CS660" s="895">
        <f>CS634+CS658</f>
        <v>209</v>
      </c>
      <c r="CT660" s="57" t="s">
        <v>2056</v>
      </c>
      <c r="CU660" s="3"/>
      <c r="CV660" s="3"/>
      <c r="CW660" s="3"/>
      <c r="CX660" s="3"/>
      <c r="CY660" s="3"/>
      <c r="CZ660" s="3"/>
      <c r="DA660" s="3"/>
      <c r="DB660" s="3"/>
      <c r="DC660" s="3"/>
      <c r="DD660" s="3"/>
      <c r="DE660" s="3"/>
      <c r="DF660" s="3"/>
      <c r="DX660" s="1473" t="e">
        <f t="shared" si="42"/>
        <v>#VALUE!</v>
      </c>
      <c r="DY660" s="1473"/>
      <c r="DZ660" s="1473"/>
      <c r="EA660" s="1473"/>
      <c r="EB660" s="1473"/>
      <c r="EC660" s="1473" t="e">
        <f t="shared" si="43"/>
        <v>#VALUE!</v>
      </c>
      <c r="ED660" s="1473"/>
      <c r="EE660" s="1473"/>
      <c r="EF660" s="1473"/>
      <c r="EG660" s="1473"/>
      <c r="EH660" s="1473" t="e">
        <f t="shared" si="44"/>
        <v>#VALUE!</v>
      </c>
      <c r="EI660" s="1473"/>
      <c r="EJ660" s="1473"/>
      <c r="EK660" s="1473"/>
      <c r="EL660" s="1473"/>
      <c r="EM660" s="1473" t="e">
        <f t="shared" si="45"/>
        <v>#VALUE!</v>
      </c>
      <c r="EN660" s="1473"/>
      <c r="EO660" s="1473"/>
      <c r="EP660" s="1473"/>
      <c r="EQ660" s="1473"/>
      <c r="ER660" s="1473" t="e">
        <f t="shared" si="46"/>
        <v>#VALUE!</v>
      </c>
      <c r="ES660" s="1473"/>
      <c r="ET660" s="1473"/>
      <c r="EU660" s="1473"/>
      <c r="EV660" s="1473"/>
      <c r="EW660" s="1473" t="e">
        <f t="shared" si="47"/>
        <v>#VALUE!</v>
      </c>
      <c r="EX660" s="1473"/>
      <c r="EY660" s="1473"/>
      <c r="EZ660" s="1473"/>
      <c r="FA660" s="1473"/>
    </row>
    <row r="661" spans="1:157" ht="12.95" customHeight="1">
      <c r="A661" s="22"/>
      <c r="B661" t="s">
        <v>589</v>
      </c>
      <c r="G661" s="1404"/>
      <c r="H661" s="1404"/>
      <c r="I661" s="1404"/>
      <c r="J661" s="1404"/>
      <c r="K661" s="1404"/>
      <c r="L661" s="1404"/>
      <c r="M661" s="1404"/>
      <c r="N661" s="1404"/>
      <c r="O661" s="1404"/>
      <c r="P661" s="1404"/>
      <c r="Q661" s="1404"/>
      <c r="R661" s="1404"/>
      <c r="T661" s="22"/>
      <c r="U661" t="s">
        <v>589</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2"/>
        <v>#VALUE!</v>
      </c>
      <c r="DY661" s="1473"/>
      <c r="DZ661" s="1473"/>
      <c r="EA661" s="1473"/>
      <c r="EB661" s="1473"/>
      <c r="EC661" s="1473" t="e">
        <f t="shared" si="43"/>
        <v>#VALUE!</v>
      </c>
      <c r="ED661" s="1473"/>
      <c r="EE661" s="1473"/>
      <c r="EF661" s="1473"/>
      <c r="EG661" s="1473"/>
      <c r="EH661" s="1473" t="e">
        <f t="shared" si="44"/>
        <v>#VALUE!</v>
      </c>
      <c r="EI661" s="1473"/>
      <c r="EJ661" s="1473"/>
      <c r="EK661" s="1473"/>
      <c r="EL661" s="1473"/>
      <c r="EM661" s="1473" t="e">
        <f t="shared" si="45"/>
        <v>#VALUE!</v>
      </c>
      <c r="EN661" s="1473"/>
      <c r="EO661" s="1473"/>
      <c r="EP661" s="1473"/>
      <c r="EQ661" s="1473"/>
      <c r="ER661" s="1473" t="e">
        <f t="shared" si="46"/>
        <v>#VALUE!</v>
      </c>
      <c r="ES661" s="1473"/>
      <c r="ET661" s="1473"/>
      <c r="EU661" s="1473"/>
      <c r="EV661" s="1473"/>
      <c r="EW661" s="1473" t="e">
        <f t="shared" si="47"/>
        <v>#VALUE!</v>
      </c>
      <c r="EX661" s="1473"/>
      <c r="EY661" s="1473"/>
      <c r="EZ661" s="1473"/>
      <c r="FA661" s="1473"/>
    </row>
    <row r="662" spans="1:157" ht="12.95" customHeight="1">
      <c r="A662" s="22"/>
      <c r="B662" t="s">
        <v>17</v>
      </c>
      <c r="G662" s="1404"/>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2"/>
        <v>#VALUE!</v>
      </c>
      <c r="DY662" s="1473"/>
      <c r="DZ662" s="1473"/>
      <c r="EA662" s="1473"/>
      <c r="EB662" s="1473"/>
      <c r="EC662" s="1473" t="e">
        <f t="shared" si="43"/>
        <v>#VALUE!</v>
      </c>
      <c r="ED662" s="1473"/>
      <c r="EE662" s="1473"/>
      <c r="EF662" s="1473"/>
      <c r="EG662" s="1473"/>
      <c r="EH662" s="1473" t="e">
        <f t="shared" si="44"/>
        <v>#VALUE!</v>
      </c>
      <c r="EI662" s="1473"/>
      <c r="EJ662" s="1473"/>
      <c r="EK662" s="1473"/>
      <c r="EL662" s="1473"/>
      <c r="EM662" s="1473" t="e">
        <f t="shared" si="45"/>
        <v>#VALUE!</v>
      </c>
      <c r="EN662" s="1473"/>
      <c r="EO662" s="1473"/>
      <c r="EP662" s="1473"/>
      <c r="EQ662" s="1473"/>
      <c r="ER662" s="1473" t="e">
        <f t="shared" si="46"/>
        <v>#VALUE!</v>
      </c>
      <c r="ES662" s="1473"/>
      <c r="ET662" s="1473"/>
      <c r="EU662" s="1473"/>
      <c r="EV662" s="1473"/>
      <c r="EW662" s="1473" t="e">
        <f t="shared" si="47"/>
        <v>#VALUE!</v>
      </c>
      <c r="EX662" s="1473"/>
      <c r="EY662" s="1473"/>
      <c r="EZ662" s="1473"/>
      <c r="FA662" s="1473"/>
    </row>
    <row r="663" spans="1:157" ht="12.95" customHeight="1">
      <c r="A663" s="22"/>
      <c r="B663" t="s">
        <v>317</v>
      </c>
      <c r="G663" s="1474"/>
      <c r="H663" s="1474"/>
      <c r="I663" s="1474"/>
      <c r="J663" s="1474"/>
      <c r="K663" s="1474"/>
      <c r="L663" s="1474"/>
      <c r="O663" s="33" t="s">
        <v>207</v>
      </c>
      <c r="P663" s="1487"/>
      <c r="Q663" s="1487"/>
      <c r="R663" s="1487"/>
      <c r="T663" s="22"/>
      <c r="U663" t="s">
        <v>317</v>
      </c>
      <c r="Z663" s="1474"/>
      <c r="AA663" s="1474"/>
      <c r="AB663" s="1474"/>
      <c r="AC663" s="1474"/>
      <c r="AD663" s="1474"/>
      <c r="AE663" s="1474"/>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2"/>
        <v>#VALUE!</v>
      </c>
      <c r="DY663" s="1473"/>
      <c r="DZ663" s="1473"/>
      <c r="EA663" s="1473"/>
      <c r="EB663" s="1473"/>
      <c r="EC663" s="1473" t="e">
        <f t="shared" si="43"/>
        <v>#VALUE!</v>
      </c>
      <c r="ED663" s="1473"/>
      <c r="EE663" s="1473"/>
      <c r="EF663" s="1473"/>
      <c r="EG663" s="1473"/>
      <c r="EH663" s="1473" t="e">
        <f t="shared" si="44"/>
        <v>#VALUE!</v>
      </c>
      <c r="EI663" s="1473"/>
      <c r="EJ663" s="1473"/>
      <c r="EK663" s="1473"/>
      <c r="EL663" s="1473"/>
      <c r="EM663" s="1473" t="e">
        <f t="shared" si="45"/>
        <v>#VALUE!</v>
      </c>
      <c r="EN663" s="1473"/>
      <c r="EO663" s="1473"/>
      <c r="EP663" s="1473"/>
      <c r="EQ663" s="1473"/>
      <c r="ER663" s="1473" t="e">
        <f t="shared" si="46"/>
        <v>#VALUE!</v>
      </c>
      <c r="ES663" s="1473"/>
      <c r="ET663" s="1473"/>
      <c r="EU663" s="1473"/>
      <c r="EV663" s="1473"/>
      <c r="EW663" s="1473" t="e">
        <f t="shared" si="47"/>
        <v>#VALUE!</v>
      </c>
      <c r="EX663" s="1473"/>
      <c r="EY663" s="1473"/>
      <c r="EZ663" s="1473"/>
      <c r="FA663" s="1473"/>
    </row>
    <row r="664" spans="1:157" ht="12.95" customHeight="1">
      <c r="A664" s="22"/>
      <c r="B664" t="s">
        <v>18</v>
      </c>
      <c r="H664" s="1404"/>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2"/>
        <v>#VALUE!</v>
      </c>
      <c r="DY664" s="1473"/>
      <c r="DZ664" s="1473"/>
      <c r="EA664" s="1473"/>
      <c r="EB664" s="1473"/>
      <c r="EC664" s="1473" t="e">
        <f t="shared" si="43"/>
        <v>#VALUE!</v>
      </c>
      <c r="ED664" s="1473"/>
      <c r="EE664" s="1473"/>
      <c r="EF664" s="1473"/>
      <c r="EG664" s="1473"/>
      <c r="EH664" s="1473" t="e">
        <f t="shared" si="44"/>
        <v>#VALUE!</v>
      </c>
      <c r="EI664" s="1473"/>
      <c r="EJ664" s="1473"/>
      <c r="EK664" s="1473"/>
      <c r="EL664" s="1473"/>
      <c r="EM664" s="1473" t="e">
        <f t="shared" si="45"/>
        <v>#VALUE!</v>
      </c>
      <c r="EN664" s="1473"/>
      <c r="EO664" s="1473"/>
      <c r="EP664" s="1473"/>
      <c r="EQ664" s="1473"/>
      <c r="ER664" s="1473" t="e">
        <f t="shared" si="46"/>
        <v>#VALUE!</v>
      </c>
      <c r="ES664" s="1473"/>
      <c r="ET664" s="1473"/>
      <c r="EU664" s="1473"/>
      <c r="EV664" s="1473"/>
      <c r="EW664" s="1473" t="e">
        <f t="shared" si="47"/>
        <v>#VALUE!</v>
      </c>
      <c r="EX664" s="1473"/>
      <c r="EY664" s="1473"/>
      <c r="EZ664" s="1473"/>
      <c r="FA664" s="1473"/>
    </row>
    <row r="665" spans="1:157" ht="12.95" customHeight="1">
      <c r="A665" s="22"/>
      <c r="B665" t="s">
        <v>20</v>
      </c>
      <c r="N665" s="1403" t="s">
        <v>554</v>
      </c>
      <c r="O665" s="1403"/>
      <c r="T665" s="22"/>
      <c r="U665" t="s">
        <v>20</v>
      </c>
      <c r="AG665" s="1403" t="s">
        <v>678</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2"/>
        <v>#VALUE!</v>
      </c>
      <c r="DY665" s="1473"/>
      <c r="DZ665" s="1473"/>
      <c r="EA665" s="1473"/>
      <c r="EB665" s="1473"/>
      <c r="EC665" s="1473" t="e">
        <f t="shared" si="43"/>
        <v>#VALUE!</v>
      </c>
      <c r="ED665" s="1473"/>
      <c r="EE665" s="1473"/>
      <c r="EF665" s="1473"/>
      <c r="EG665" s="1473"/>
      <c r="EH665" s="1473" t="e">
        <f t="shared" si="44"/>
        <v>#VALUE!</v>
      </c>
      <c r="EI665" s="1473"/>
      <c r="EJ665" s="1473"/>
      <c r="EK665" s="1473"/>
      <c r="EL665" s="1473"/>
      <c r="EM665" s="1473" t="e">
        <f t="shared" si="45"/>
        <v>#VALUE!</v>
      </c>
      <c r="EN665" s="1473"/>
      <c r="EO665" s="1473"/>
      <c r="EP665" s="1473"/>
      <c r="EQ665" s="1473"/>
      <c r="ER665" s="1473" t="e">
        <f t="shared" si="46"/>
        <v>#VALUE!</v>
      </c>
      <c r="ES665" s="1473"/>
      <c r="ET665" s="1473"/>
      <c r="EU665" s="1473"/>
      <c r="EV665" s="1473"/>
      <c r="EW665" s="1473" t="e">
        <f t="shared" si="47"/>
        <v>#VALUE!</v>
      </c>
      <c r="EX665" s="1473"/>
      <c r="EY665" s="1473"/>
      <c r="EZ665" s="1473"/>
      <c r="FA665" s="147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2"/>
        <v>#VALUE!</v>
      </c>
      <c r="DY666" s="1473"/>
      <c r="DZ666" s="1473"/>
      <c r="EA666" s="1473"/>
      <c r="EB666" s="1473"/>
      <c r="EC666" s="1473" t="e">
        <f t="shared" si="43"/>
        <v>#VALUE!</v>
      </c>
      <c r="ED666" s="1473"/>
      <c r="EE666" s="1473"/>
      <c r="EF666" s="1473"/>
      <c r="EG666" s="1473"/>
      <c r="EH666" s="1473" t="e">
        <f t="shared" si="44"/>
        <v>#VALUE!</v>
      </c>
      <c r="EI666" s="1473"/>
      <c r="EJ666" s="1473"/>
      <c r="EK666" s="1473"/>
      <c r="EL666" s="1473"/>
      <c r="EM666" s="1473" t="e">
        <f t="shared" si="45"/>
        <v>#VALUE!</v>
      </c>
      <c r="EN666" s="1473"/>
      <c r="EO666" s="1473"/>
      <c r="EP666" s="1473"/>
      <c r="EQ666" s="1473"/>
      <c r="ER666" s="1473" t="e">
        <f t="shared" si="46"/>
        <v>#VALUE!</v>
      </c>
      <c r="ES666" s="1473"/>
      <c r="ET666" s="1473"/>
      <c r="EU666" s="1473"/>
      <c r="EV666" s="1473"/>
      <c r="EW666" s="1473" t="e">
        <f t="shared" si="47"/>
        <v>#VALUE!</v>
      </c>
      <c r="EX666" s="1473"/>
      <c r="EY666" s="1473"/>
      <c r="EZ666" s="1473"/>
      <c r="FA666" s="1473"/>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1748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2"/>
        <v>#VALUE!</v>
      </c>
      <c r="DY667" s="1473"/>
      <c r="DZ667" s="1473"/>
      <c r="EA667" s="1473"/>
      <c r="EB667" s="1473"/>
      <c r="EC667" s="1473" t="e">
        <f t="shared" si="43"/>
        <v>#VALUE!</v>
      </c>
      <c r="ED667" s="1473"/>
      <c r="EE667" s="1473"/>
      <c r="EF667" s="1473"/>
      <c r="EG667" s="1473"/>
      <c r="EH667" s="1473" t="e">
        <f t="shared" si="44"/>
        <v>#VALUE!</v>
      </c>
      <c r="EI667" s="1473"/>
      <c r="EJ667" s="1473"/>
      <c r="EK667" s="1473"/>
      <c r="EL667" s="1473"/>
      <c r="EM667" s="1473" t="e">
        <f t="shared" si="45"/>
        <v>#VALUE!</v>
      </c>
      <c r="EN667" s="1473"/>
      <c r="EO667" s="1473"/>
      <c r="EP667" s="1473"/>
      <c r="EQ667" s="1473"/>
      <c r="ER667" s="1473" t="e">
        <f t="shared" si="46"/>
        <v>#VALUE!</v>
      </c>
      <c r="ES667" s="1473"/>
      <c r="ET667" s="1473"/>
      <c r="EU667" s="1473"/>
      <c r="EV667" s="1473"/>
      <c r="EW667" s="1473" t="e">
        <f t="shared" si="47"/>
        <v>#VALUE!</v>
      </c>
      <c r="EX667" s="1473"/>
      <c r="EY667" s="1473"/>
      <c r="EZ667" s="1473"/>
      <c r="FA667" s="1473"/>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1748</v>
      </c>
      <c r="BB668" s="3"/>
      <c r="BC668" s="3"/>
      <c r="BD668" s="3"/>
      <c r="BE668" s="3"/>
      <c r="BF668" s="218"/>
      <c r="BG668" s="315">
        <f t="shared" ref="BG668:BG700" si="49">G718</f>
        <v>6</v>
      </c>
      <c r="BH668" s="319">
        <f t="shared" ref="BH668:BH702" si="50">IF($BG$703=0,0,BG668/$BG$703)</f>
        <v>6.0606060606060608E-2</v>
      </c>
      <c r="BI668" s="320">
        <f t="shared" ref="BI668:BI691" si="51">IF(BH668=0,"",BH668*AC718)</f>
        <v>1.8181818181818181E-2</v>
      </c>
      <c r="BJ668" s="3"/>
      <c r="BK668" s="3"/>
      <c r="BL668" s="3"/>
      <c r="BM668" s="3"/>
      <c r="BN668" s="3"/>
      <c r="BO668" s="3"/>
      <c r="BT668" s="315">
        <f t="shared" ref="BT668:BT700" si="52">G718</f>
        <v>6</v>
      </c>
      <c r="BU668" s="319">
        <f t="shared" ref="BU668:BU702" si="53">IF($BT$703=0,0,BT668/$BT$703)</f>
        <v>6.0606060606060608E-2</v>
      </c>
      <c r="BV668" s="320">
        <f t="shared" ref="BV668:BV700" si="54">IF(BU668=0,"",BU668*AH718)</f>
        <v>1.8167949518063935E-2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2.95"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8"/>
        <v>1748</v>
      </c>
      <c r="BB669" s="3"/>
      <c r="BC669" s="3"/>
      <c r="BD669" s="3"/>
      <c r="BE669" s="3"/>
      <c r="BF669" s="218"/>
      <c r="BG669" s="316">
        <f t="shared" si="49"/>
        <v>3</v>
      </c>
      <c r="BH669" s="319">
        <f t="shared" si="50"/>
        <v>3.0303030303030304E-2</v>
      </c>
      <c r="BI669" s="320">
        <f t="shared" si="51"/>
        <v>1.2121212121212123E-2</v>
      </c>
      <c r="BJ669" s="3"/>
      <c r="BK669" s="3"/>
      <c r="BL669" s="3"/>
      <c r="BM669" s="3"/>
      <c r="BN669" s="3"/>
      <c r="BO669" s="3"/>
      <c r="BT669" s="316">
        <f t="shared" si="52"/>
        <v>3</v>
      </c>
      <c r="BU669" s="319">
        <f t="shared" si="53"/>
        <v>3.0303030303030304E-2</v>
      </c>
      <c r="BV669" s="320">
        <f t="shared" si="54"/>
        <v>1.211774495527356E-2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1748</v>
      </c>
      <c r="BB670" s="3"/>
      <c r="BC670" s="3"/>
      <c r="BD670" s="3"/>
      <c r="BE670" s="3"/>
      <c r="BF670" s="218"/>
      <c r="BG670" s="316">
        <f t="shared" si="49"/>
        <v>19</v>
      </c>
      <c r="BH670" s="319">
        <f t="shared" si="50"/>
        <v>0.19191919191919191</v>
      </c>
      <c r="BI670" s="320">
        <f t="shared" si="51"/>
        <v>7.6767676767676762E-2</v>
      </c>
      <c r="BJ670" s="3"/>
      <c r="BK670" s="3"/>
      <c r="BL670" s="3"/>
      <c r="BM670" s="3"/>
      <c r="BN670" s="3"/>
      <c r="BO670" s="3"/>
      <c r="BT670" s="316">
        <f t="shared" si="52"/>
        <v>19</v>
      </c>
      <c r="BU670" s="319">
        <f t="shared" si="53"/>
        <v>0.19191919191919191</v>
      </c>
      <c r="BV670" s="320">
        <f t="shared" si="54"/>
        <v>7.6745718050065873E-2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0</v>
      </c>
      <c r="DY670" s="1473"/>
      <c r="DZ670" s="1473"/>
      <c r="EA670" s="1473"/>
      <c r="EB670" s="1473"/>
      <c r="EC670" s="1473">
        <f>SUMIF(EC635:EG669,"&gt;0")</f>
        <v>542.70967741935476</v>
      </c>
      <c r="ED670" s="1473"/>
      <c r="EE670" s="1473"/>
      <c r="EF670" s="1473"/>
      <c r="EG670" s="1473"/>
      <c r="EH670" s="1473">
        <f>SUMIF(EH635:EL669,"&gt;0")</f>
        <v>648.52941176470586</v>
      </c>
      <c r="EI670" s="1473"/>
      <c r="EJ670" s="1473"/>
      <c r="EK670" s="1473"/>
      <c r="EL670" s="1473"/>
      <c r="EM670" s="1473">
        <f>SUMIF(EM635:EQ669,"&gt;0")</f>
        <v>774.69230769230774</v>
      </c>
      <c r="EN670" s="1473"/>
      <c r="EO670" s="1473"/>
      <c r="EP670" s="1473"/>
      <c r="EQ670" s="1473"/>
      <c r="ER670" s="1473">
        <f>SUMIF(ER635:EV669,"&gt;0")</f>
        <v>833.625</v>
      </c>
      <c r="ES670" s="1473"/>
      <c r="ET670" s="1473"/>
      <c r="EU670" s="1473"/>
      <c r="EV670" s="1473"/>
      <c r="EW670" s="1473">
        <f>SUMIF(EW635:FA669,"&gt;0")</f>
        <v>0</v>
      </c>
      <c r="EX670" s="1473"/>
      <c r="EY670" s="1473"/>
      <c r="EZ670" s="1473"/>
      <c r="FA670" s="1473"/>
    </row>
    <row r="671" spans="1:157" ht="12.95" customHeight="1">
      <c r="A671" s="22"/>
      <c r="B671" t="s">
        <v>317</v>
      </c>
      <c r="G671" s="1474"/>
      <c r="H671" s="1474"/>
      <c r="I671" s="1474"/>
      <c r="J671" s="1474"/>
      <c r="K671" s="1474"/>
      <c r="L671" s="1474"/>
      <c r="O671" s="33" t="s">
        <v>207</v>
      </c>
      <c r="P671" s="1487"/>
      <c r="Q671" s="1487"/>
      <c r="R671" s="1487"/>
      <c r="T671" s="22"/>
      <c r="U671" t="s">
        <v>317</v>
      </c>
      <c r="Z671" s="1474"/>
      <c r="AA671" s="1474"/>
      <c r="AB671" s="1474"/>
      <c r="AC671" s="1474"/>
      <c r="AD671" s="1474"/>
      <c r="AE671" s="1474"/>
      <c r="AH671" s="33" t="s">
        <v>207</v>
      </c>
      <c r="AI671" s="1487"/>
      <c r="AJ671" s="1487"/>
      <c r="AK671" s="1487"/>
      <c r="AZ671" s="3"/>
      <c r="BA671" s="118">
        <f t="shared" si="48"/>
        <v>1748</v>
      </c>
      <c r="BB671" s="3"/>
      <c r="BC671" s="3"/>
      <c r="BD671" s="3"/>
      <c r="BE671" s="3"/>
      <c r="BF671" s="218"/>
      <c r="BG671" s="316">
        <f t="shared" si="49"/>
        <v>2</v>
      </c>
      <c r="BH671" s="319">
        <f t="shared" si="50"/>
        <v>2.0202020202020204E-2</v>
      </c>
      <c r="BI671" s="320">
        <f t="shared" si="51"/>
        <v>1.0101010101010102E-2</v>
      </c>
      <c r="BJ671" s="3"/>
      <c r="BK671" s="3"/>
      <c r="BL671" s="3"/>
      <c r="BM671" s="3"/>
      <c r="BN671" s="3"/>
      <c r="BO671" s="3"/>
      <c r="BT671" s="316">
        <f t="shared" si="52"/>
        <v>2</v>
      </c>
      <c r="BU671" s="319">
        <f t="shared" si="53"/>
        <v>2.0202020202020204E-2</v>
      </c>
      <c r="BV671" s="320">
        <f t="shared" si="54"/>
        <v>1.0101010101010102E-2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2096</v>
      </c>
      <c r="BB672" s="3"/>
      <c r="BC672" s="3"/>
      <c r="BD672" s="3"/>
      <c r="BE672" s="3"/>
      <c r="BF672" s="218"/>
      <c r="BG672" s="316">
        <f t="shared" si="49"/>
        <v>1</v>
      </c>
      <c r="BH672" s="319">
        <f t="shared" si="50"/>
        <v>1.0101010101010102E-2</v>
      </c>
      <c r="BI672" s="320">
        <f t="shared" si="51"/>
        <v>6.0606060606060606E-3</v>
      </c>
      <c r="BJ672" s="3"/>
      <c r="BK672" s="3"/>
      <c r="BL672" s="3"/>
      <c r="BM672" s="3"/>
      <c r="BN672" s="3"/>
      <c r="BO672" s="3"/>
      <c r="BT672" s="316">
        <f t="shared" si="52"/>
        <v>1</v>
      </c>
      <c r="BU672" s="319">
        <f t="shared" si="53"/>
        <v>1.0101010101010102E-2</v>
      </c>
      <c r="BV672" s="320">
        <f t="shared" si="54"/>
        <v>6.061761782585582E-3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678</v>
      </c>
      <c r="O673" s="1403"/>
      <c r="T673" s="22"/>
      <c r="U673" t="s">
        <v>20</v>
      </c>
      <c r="AG673" s="1403" t="s">
        <v>678</v>
      </c>
      <c r="AH673" s="1403"/>
      <c r="AZ673" s="3"/>
      <c r="BA673" s="118">
        <f t="shared" si="48"/>
        <v>2096</v>
      </c>
      <c r="BB673" s="3"/>
      <c r="BC673" s="3"/>
      <c r="BD673" s="3"/>
      <c r="BE673" s="3"/>
      <c r="BF673" s="218"/>
      <c r="BG673" s="316">
        <f t="shared" si="49"/>
        <v>7</v>
      </c>
      <c r="BH673" s="319">
        <f t="shared" si="50"/>
        <v>7.0707070707070704E-2</v>
      </c>
      <c r="BI673" s="320">
        <f t="shared" si="51"/>
        <v>2.121212121212121E-2</v>
      </c>
      <c r="BJ673" s="3"/>
      <c r="BK673" s="3"/>
      <c r="BL673" s="3"/>
      <c r="BM673" s="3"/>
      <c r="BN673" s="3"/>
      <c r="BO673" s="3"/>
      <c r="BT673" s="316">
        <f t="shared" si="52"/>
        <v>7</v>
      </c>
      <c r="BU673" s="319">
        <f t="shared" si="53"/>
        <v>7.0707070707070704E-2</v>
      </c>
      <c r="BV673" s="320">
        <f t="shared" si="54"/>
        <v>2.1218868070013108E-2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2096</v>
      </c>
      <c r="BB674" s="3"/>
      <c r="BC674" s="3"/>
      <c r="BD674" s="3"/>
      <c r="BE674" s="3"/>
      <c r="BF674" s="218"/>
      <c r="BG674" s="316">
        <f t="shared" si="49"/>
        <v>5</v>
      </c>
      <c r="BH674" s="319">
        <f t="shared" si="50"/>
        <v>5.0505050505050504E-2</v>
      </c>
      <c r="BI674" s="320">
        <f t="shared" si="51"/>
        <v>2.0202020202020204E-2</v>
      </c>
      <c r="BJ674" s="3"/>
      <c r="BK674" s="3"/>
      <c r="BL674" s="3"/>
      <c r="BM674" s="3"/>
      <c r="BN674" s="3"/>
      <c r="BO674" s="3"/>
      <c r="BT674" s="316">
        <f t="shared" si="52"/>
        <v>5</v>
      </c>
      <c r="BU674" s="319">
        <f t="shared" si="53"/>
        <v>5.0505050505050504E-2</v>
      </c>
      <c r="BV674" s="320">
        <f t="shared" si="54"/>
        <v>2.0216477754645693E-2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f t="shared" si="48"/>
        <v>2096</v>
      </c>
      <c r="BB675" s="3"/>
      <c r="BC675" s="3"/>
      <c r="BD675" s="3"/>
      <c r="BE675" s="3"/>
      <c r="BF675" s="218"/>
      <c r="BG675" s="316">
        <f t="shared" si="49"/>
        <v>18</v>
      </c>
      <c r="BH675" s="319">
        <f t="shared" si="50"/>
        <v>0.18181818181818182</v>
      </c>
      <c r="BI675" s="320">
        <f t="shared" si="51"/>
        <v>7.2727272727272738E-2</v>
      </c>
      <c r="BJ675" s="3"/>
      <c r="BK675" s="3"/>
      <c r="BL675" s="3"/>
      <c r="BM675" s="3"/>
      <c r="BN675" s="3"/>
      <c r="BO675" s="3"/>
      <c r="BT675" s="316">
        <f t="shared" si="52"/>
        <v>18</v>
      </c>
      <c r="BU675" s="319">
        <f t="shared" si="53"/>
        <v>0.18181818181818182</v>
      </c>
      <c r="BV675" s="320">
        <f t="shared" si="54"/>
        <v>7.2779319916724497E-2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2096</v>
      </c>
      <c r="BB676" s="3"/>
      <c r="BC676" s="3"/>
      <c r="BD676" s="3"/>
      <c r="BE676" s="3"/>
      <c r="BF676" s="218"/>
      <c r="BG676" s="316">
        <f t="shared" si="49"/>
        <v>3</v>
      </c>
      <c r="BH676" s="319">
        <f t="shared" si="50"/>
        <v>3.0303030303030304E-2</v>
      </c>
      <c r="BI676" s="320">
        <f t="shared" si="51"/>
        <v>1.5151515151515152E-2</v>
      </c>
      <c r="BJ676" s="3"/>
      <c r="BK676" s="3"/>
      <c r="BL676" s="3"/>
      <c r="BM676" s="3"/>
      <c r="BN676" s="3"/>
      <c r="BO676" s="3"/>
      <c r="BT676" s="316">
        <f t="shared" si="52"/>
        <v>3</v>
      </c>
      <c r="BU676" s="319">
        <f t="shared" si="53"/>
        <v>3.0303030303030304E-2</v>
      </c>
      <c r="BV676" s="320">
        <f t="shared" si="54"/>
        <v>1.5151515151515152E-2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f t="shared" si="48"/>
        <v>2422</v>
      </c>
      <c r="BB677" s="3"/>
      <c r="BC677" s="3"/>
      <c r="BD677" s="3"/>
      <c r="BE677" s="3"/>
      <c r="BF677" s="218"/>
      <c r="BG677" s="316">
        <f t="shared" si="49"/>
        <v>1</v>
      </c>
      <c r="BH677" s="319">
        <f t="shared" si="50"/>
        <v>1.0101010101010102E-2</v>
      </c>
      <c r="BI677" s="320">
        <f t="shared" si="51"/>
        <v>6.0606060606060606E-3</v>
      </c>
      <c r="BJ677" s="3"/>
      <c r="BK677" s="3"/>
      <c r="BL677" s="3"/>
      <c r="BM677" s="3"/>
      <c r="BN677" s="3"/>
      <c r="BO677" s="3"/>
      <c r="BT677" s="316">
        <f t="shared" si="52"/>
        <v>1</v>
      </c>
      <c r="BU677" s="319">
        <f t="shared" si="53"/>
        <v>1.0101010101010102E-2</v>
      </c>
      <c r="BV677" s="320">
        <f t="shared" si="54"/>
        <v>6.0625337342894601E-3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f t="shared" si="48"/>
        <v>2422</v>
      </c>
      <c r="BB678" s="3"/>
      <c r="BC678" s="3"/>
      <c r="BD678" s="3"/>
      <c r="BE678" s="3"/>
      <c r="BF678" s="218"/>
      <c r="BG678" s="316">
        <f t="shared" si="49"/>
        <v>3</v>
      </c>
      <c r="BH678" s="319">
        <f t="shared" si="50"/>
        <v>3.0303030303030304E-2</v>
      </c>
      <c r="BI678" s="320">
        <f t="shared" si="51"/>
        <v>9.0909090909090905E-3</v>
      </c>
      <c r="BJ678" s="3"/>
      <c r="BK678" s="3"/>
      <c r="BL678" s="3"/>
      <c r="BM678" s="3"/>
      <c r="BN678" s="3"/>
      <c r="BO678" s="3"/>
      <c r="BT678" s="316">
        <f t="shared" si="52"/>
        <v>3</v>
      </c>
      <c r="BU678" s="319">
        <f t="shared" si="53"/>
        <v>3.0303030303030304E-2</v>
      </c>
      <c r="BV678" s="320">
        <f t="shared" si="54"/>
        <v>9.0959137201911764E-3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4"/>
      <c r="H679" s="1474"/>
      <c r="I679" s="1474"/>
      <c r="J679" s="1474"/>
      <c r="K679" s="1474"/>
      <c r="L679" s="1474"/>
      <c r="O679" s="33" t="s">
        <v>207</v>
      </c>
      <c r="P679" s="1487"/>
      <c r="Q679" s="1487"/>
      <c r="R679" s="1487"/>
      <c r="T679" s="22"/>
      <c r="U679" t="s">
        <v>317</v>
      </c>
      <c r="Z679" s="1474"/>
      <c r="AA679" s="1474"/>
      <c r="AB679" s="1474"/>
      <c r="AC679" s="1474"/>
      <c r="AD679" s="1474"/>
      <c r="AE679" s="1474"/>
      <c r="AH679" s="33" t="s">
        <v>207</v>
      </c>
      <c r="AI679" s="1487"/>
      <c r="AJ679" s="1487"/>
      <c r="AK679" s="1487"/>
      <c r="AZ679" s="3"/>
      <c r="BA679" s="118">
        <f t="shared" si="48"/>
        <v>2422</v>
      </c>
      <c r="BB679" s="3"/>
      <c r="BC679" s="3"/>
      <c r="BD679" s="3"/>
      <c r="BE679" s="3"/>
      <c r="BF679" s="218"/>
      <c r="BG679" s="316">
        <f t="shared" si="49"/>
        <v>4</v>
      </c>
      <c r="BH679" s="319">
        <f t="shared" si="50"/>
        <v>4.0404040404040407E-2</v>
      </c>
      <c r="BI679" s="320">
        <f t="shared" si="51"/>
        <v>1.2121212121212121E-2</v>
      </c>
      <c r="BJ679" s="3"/>
      <c r="BK679" s="3"/>
      <c r="BL679" s="3"/>
      <c r="BM679" s="3"/>
      <c r="BN679" s="3"/>
      <c r="BO679" s="3"/>
      <c r="BT679" s="316">
        <f t="shared" si="52"/>
        <v>4</v>
      </c>
      <c r="BU679" s="319">
        <f t="shared" si="53"/>
        <v>4.0404040404040407E-2</v>
      </c>
      <c r="BV679" s="320">
        <f t="shared" si="54"/>
        <v>1.2127884960254904E-2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f t="shared" si="48"/>
        <v>2422</v>
      </c>
      <c r="BB680" s="3"/>
      <c r="BC680" s="3"/>
      <c r="BD680" s="3"/>
      <c r="BE680" s="3"/>
      <c r="BF680" s="218"/>
      <c r="BG680" s="316">
        <f t="shared" si="49"/>
        <v>8</v>
      </c>
      <c r="BH680" s="319">
        <f t="shared" si="50"/>
        <v>8.0808080808080815E-2</v>
      </c>
      <c r="BI680" s="320">
        <f t="shared" si="51"/>
        <v>3.232323232323233E-2</v>
      </c>
      <c r="BJ680" s="3"/>
      <c r="BK680" s="3"/>
      <c r="BL680" s="3"/>
      <c r="BM680" s="3"/>
      <c r="BN680" s="3"/>
      <c r="BO680" s="3"/>
      <c r="BT680" s="316">
        <f t="shared" si="52"/>
        <v>8</v>
      </c>
      <c r="BU680" s="319">
        <f t="shared" si="53"/>
        <v>8.0808080808080815E-2</v>
      </c>
      <c r="BV680" s="320">
        <f t="shared" si="54"/>
        <v>3.2329905162275109E-2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678</v>
      </c>
      <c r="O681" s="1403"/>
      <c r="T681" s="22"/>
      <c r="U681" t="s">
        <v>20</v>
      </c>
      <c r="AG681" s="1403" t="s">
        <v>678</v>
      </c>
      <c r="AH681" s="1403"/>
      <c r="AZ681" s="3"/>
      <c r="BA681" s="118">
        <f t="shared" si="48"/>
        <v>2422</v>
      </c>
      <c r="BB681" s="3"/>
      <c r="BC681" s="3"/>
      <c r="BD681" s="3"/>
      <c r="BE681" s="3"/>
      <c r="BF681" s="218"/>
      <c r="BG681" s="316">
        <f t="shared" si="49"/>
        <v>4</v>
      </c>
      <c r="BH681" s="319">
        <f t="shared" si="50"/>
        <v>4.0404040404040407E-2</v>
      </c>
      <c r="BI681" s="320">
        <f t="shared" si="51"/>
        <v>1.6161616161616165E-2</v>
      </c>
      <c r="BJ681" s="3"/>
      <c r="BK681" s="3"/>
      <c r="BL681" s="3"/>
      <c r="BM681" s="3"/>
      <c r="BN681" s="3"/>
      <c r="BO681" s="3"/>
      <c r="BT681" s="316">
        <f t="shared" si="52"/>
        <v>4</v>
      </c>
      <c r="BU681" s="319">
        <f t="shared" si="53"/>
        <v>4.0404040404040407E-2</v>
      </c>
      <c r="BV681" s="320">
        <f t="shared" si="54"/>
        <v>1.6164952581137555E-2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2422</v>
      </c>
      <c r="BB682" s="3"/>
      <c r="BC682" s="3"/>
      <c r="BD682" s="3"/>
      <c r="BE682" s="3"/>
      <c r="BF682" s="218"/>
      <c r="BG682" s="316">
        <f t="shared" si="49"/>
        <v>3</v>
      </c>
      <c r="BH682" s="319">
        <f t="shared" si="50"/>
        <v>3.0303030303030304E-2</v>
      </c>
      <c r="BI682" s="320">
        <f t="shared" si="51"/>
        <v>1.5151515151515152E-2</v>
      </c>
      <c r="BJ682" s="3"/>
      <c r="BK682" s="3"/>
      <c r="BL682" s="3"/>
      <c r="BM682" s="3"/>
      <c r="BN682" s="3"/>
      <c r="BO682" s="3"/>
      <c r="BT682" s="316">
        <f t="shared" si="52"/>
        <v>3</v>
      </c>
      <c r="BU682" s="319">
        <f t="shared" si="53"/>
        <v>3.0303030303030304E-2</v>
      </c>
      <c r="BV682" s="320">
        <f t="shared" si="54"/>
        <v>1.5151515151515152E-2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f t="shared" si="48"/>
        <v>2422</v>
      </c>
      <c r="BB683" s="3"/>
      <c r="BC683" s="3"/>
      <c r="BD683" s="3"/>
      <c r="BE683" s="3"/>
      <c r="BF683" s="218"/>
      <c r="BG683" s="316">
        <f t="shared" si="49"/>
        <v>2</v>
      </c>
      <c r="BH683" s="319">
        <f t="shared" si="50"/>
        <v>2.0202020202020204E-2</v>
      </c>
      <c r="BI683" s="320">
        <f t="shared" si="51"/>
        <v>1.0101010101010102E-2</v>
      </c>
      <c r="BJ683" s="3"/>
      <c r="BK683" s="3"/>
      <c r="BL683" s="3"/>
      <c r="BM683" s="3"/>
      <c r="BN683" s="3"/>
      <c r="BO683" s="3"/>
      <c r="BT683" s="316">
        <f t="shared" si="52"/>
        <v>2</v>
      </c>
      <c r="BU683" s="319">
        <f t="shared" si="53"/>
        <v>2.0202020202020204E-2</v>
      </c>
      <c r="BV683" s="320">
        <f t="shared" si="54"/>
        <v>1.0101010101010102E-2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f t="shared" si="48"/>
        <v>2704</v>
      </c>
      <c r="BB684" s="3"/>
      <c r="BC684" s="3"/>
      <c r="BD684" s="3"/>
      <c r="BE684" s="3"/>
      <c r="BF684" s="218"/>
      <c r="BG684" s="316">
        <f t="shared" si="49"/>
        <v>2</v>
      </c>
      <c r="BH684" s="319">
        <f t="shared" si="50"/>
        <v>2.0202020202020204E-2</v>
      </c>
      <c r="BI684" s="320">
        <f t="shared" si="51"/>
        <v>1.2121212121212121E-2</v>
      </c>
      <c r="BJ684" s="3"/>
      <c r="BK684" s="3"/>
      <c r="BL684" s="3"/>
      <c r="BM684" s="3"/>
      <c r="BN684" s="3"/>
      <c r="BO684" s="3"/>
      <c r="BT684" s="316">
        <f t="shared" si="52"/>
        <v>2</v>
      </c>
      <c r="BU684" s="319">
        <f t="shared" si="53"/>
        <v>2.0202020202020204E-2</v>
      </c>
      <c r="BV684" s="320">
        <f t="shared" si="54"/>
        <v>1.2127884960254904E-2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f t="shared" si="48"/>
        <v>2704</v>
      </c>
      <c r="BB685" s="3"/>
      <c r="BC685" s="3"/>
      <c r="BD685" s="3"/>
      <c r="BE685" s="3"/>
      <c r="BF685" s="218"/>
      <c r="BG685" s="316">
        <f t="shared" si="49"/>
        <v>1</v>
      </c>
      <c r="BH685" s="319">
        <f t="shared" si="50"/>
        <v>1.0101010101010102E-2</v>
      </c>
      <c r="BI685" s="320">
        <f t="shared" si="51"/>
        <v>3.0303030303030303E-3</v>
      </c>
      <c r="BJ685" s="3"/>
      <c r="BK685" s="3"/>
      <c r="BL685" s="3"/>
      <c r="BM685" s="3"/>
      <c r="BN685" s="3"/>
      <c r="BO685" s="3"/>
      <c r="BT685" s="316">
        <f t="shared" si="52"/>
        <v>1</v>
      </c>
      <c r="BU685" s="319">
        <f t="shared" si="53"/>
        <v>1.0101010101010102E-2</v>
      </c>
      <c r="BV685" s="320">
        <f t="shared" si="54"/>
        <v>3.0295559141712992E-3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f t="shared" si="48"/>
        <v>2704</v>
      </c>
      <c r="BB686" s="3"/>
      <c r="BC686" s="3"/>
      <c r="BD686" s="3"/>
      <c r="BE686" s="3"/>
      <c r="BF686" s="218"/>
      <c r="BG686" s="316">
        <f t="shared" si="49"/>
        <v>2</v>
      </c>
      <c r="BH686" s="319">
        <f t="shared" si="50"/>
        <v>2.0202020202020204E-2</v>
      </c>
      <c r="BI686" s="320">
        <f t="shared" si="51"/>
        <v>6.0606060606060606E-3</v>
      </c>
      <c r="BJ686" s="3"/>
      <c r="BK686" s="3"/>
      <c r="BL686" s="3"/>
      <c r="BM686" s="3"/>
      <c r="BN686" s="3"/>
      <c r="BO686" s="3"/>
      <c r="BT686" s="316">
        <f t="shared" si="52"/>
        <v>2</v>
      </c>
      <c r="BU686" s="319">
        <f t="shared" si="53"/>
        <v>2.0202020202020204E-2</v>
      </c>
      <c r="BV686" s="320">
        <f t="shared" si="54"/>
        <v>6.0591118283425983E-3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4"/>
      <c r="H687" s="1474"/>
      <c r="I687" s="1474"/>
      <c r="J687" s="1474"/>
      <c r="K687" s="1474"/>
      <c r="L687" s="1474"/>
      <c r="O687" s="33" t="s">
        <v>207</v>
      </c>
      <c r="P687" s="1487"/>
      <c r="Q687" s="1487"/>
      <c r="R687" s="1487"/>
      <c r="U687" t="s">
        <v>317</v>
      </c>
      <c r="Z687" s="1474"/>
      <c r="AA687" s="1474"/>
      <c r="AB687" s="1474"/>
      <c r="AC687" s="1474"/>
      <c r="AD687" s="1474"/>
      <c r="AE687" s="1474"/>
      <c r="AH687" s="33" t="s">
        <v>207</v>
      </c>
      <c r="AI687" s="1487"/>
      <c r="AJ687" s="1487"/>
      <c r="AK687" s="1487"/>
      <c r="AZ687" s="3"/>
      <c r="BA687" s="118">
        <f t="shared" si="48"/>
        <v>2704</v>
      </c>
      <c r="BB687" s="3"/>
      <c r="BC687" s="3"/>
      <c r="BD687" s="3"/>
      <c r="BE687" s="3"/>
      <c r="BF687" s="218"/>
      <c r="BG687" s="316">
        <f t="shared" si="49"/>
        <v>2</v>
      </c>
      <c r="BH687" s="319">
        <f t="shared" si="50"/>
        <v>2.0202020202020204E-2</v>
      </c>
      <c r="BI687" s="320">
        <f t="shared" si="51"/>
        <v>8.0808080808080825E-3</v>
      </c>
      <c r="BJ687" s="3"/>
      <c r="BK687" s="3"/>
      <c r="BL687" s="3"/>
      <c r="BM687" s="3"/>
      <c r="BN687" s="3"/>
      <c r="BO687" s="3"/>
      <c r="BT687" s="316">
        <f t="shared" si="52"/>
        <v>2</v>
      </c>
      <c r="BU687" s="319">
        <f t="shared" si="53"/>
        <v>2.0202020202020204E-2</v>
      </c>
      <c r="BV687" s="320">
        <f t="shared" si="54"/>
        <v>8.083796545335007E-3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3</v>
      </c>
      <c r="BH688" s="319">
        <f t="shared" si="50"/>
        <v>3.0303030303030304E-2</v>
      </c>
      <c r="BI688" s="320">
        <f t="shared" si="51"/>
        <v>1.5151515151515152E-2</v>
      </c>
      <c r="BL688" s="3"/>
      <c r="BM688" s="3"/>
      <c r="BN688" s="3"/>
      <c r="BO688" s="3"/>
      <c r="BT688" s="316">
        <f t="shared" si="52"/>
        <v>3</v>
      </c>
      <c r="BU688" s="319">
        <f t="shared" si="53"/>
        <v>3.0303030303030304E-2</v>
      </c>
      <c r="BV688" s="320">
        <f t="shared" si="54"/>
        <v>1.5151515151515152E-2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678</v>
      </c>
      <c r="O689" s="1403"/>
      <c r="U689" t="s">
        <v>20</v>
      </c>
      <c r="AG689" s="1403" t="s">
        <v>678</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554</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678</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2" t="s">
        <v>2770</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6">
        <v>45658</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2">
        <f>[1]EVERYTHING!$I$23</f>
        <v>0.54500000000000004</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 xml:space="preserve">California Municipal Finance Authority </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99</v>
      </c>
      <c r="BH703" s="322">
        <f>SUM(BH668:BH702)</f>
        <v>0.99999999999999989</v>
      </c>
      <c r="BI703" s="322">
        <f>SUM(BI668:BI702)</f>
        <v>0.39797979797979793</v>
      </c>
      <c r="BN703" s="3"/>
      <c r="BO703" s="3"/>
      <c r="BT703" s="893">
        <f>SUM(BT668:BT702)</f>
        <v>99</v>
      </c>
      <c r="BU703" s="322">
        <f>SUM(BU668:BU702)</f>
        <v>0.99999999999999989</v>
      </c>
      <c r="BV703" s="322">
        <f>SUM(BV668:BV702)</f>
        <v>0.39804594511018992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4"/>
      <c r="K705" s="1474"/>
      <c r="L705" s="1474"/>
      <c r="M705" s="1474"/>
      <c r="N705" s="1474"/>
      <c r="O705" s="1474"/>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3" t="s">
        <v>1869</v>
      </c>
      <c r="L714" s="1764"/>
      <c r="M714" s="1764"/>
      <c r="N714" s="1765"/>
      <c r="O714" s="1370" t="s">
        <v>456</v>
      </c>
      <c r="P714" s="1371"/>
      <c r="Q714" s="1371"/>
      <c r="R714" s="1371"/>
      <c r="S714" s="1372"/>
      <c r="T714" s="1475" t="s">
        <v>2253</v>
      </c>
      <c r="U714" s="1371"/>
      <c r="V714" s="1371"/>
      <c r="W714" s="1372"/>
      <c r="X714" s="1475" t="s">
        <v>2255</v>
      </c>
      <c r="Y714" s="1371"/>
      <c r="Z714" s="1371"/>
      <c r="AA714" s="1371"/>
      <c r="AB714" s="1372"/>
      <c r="AC714" s="1475" t="s">
        <v>2254</v>
      </c>
      <c r="AD714" s="1371"/>
      <c r="AE714" s="1371"/>
      <c r="AF714" s="1371"/>
      <c r="AG714" s="1372"/>
      <c r="AH714" s="1475" t="s">
        <v>2256</v>
      </c>
      <c r="AI714" s="1371"/>
      <c r="AJ714" s="1372"/>
      <c r="AK714" s="1475"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326</v>
      </c>
      <c r="C718" s="1392"/>
      <c r="D718" s="1392"/>
      <c r="E718" s="1392"/>
      <c r="F718" s="1393"/>
      <c r="G718" s="1355">
        <v>6</v>
      </c>
      <c r="H718" s="1356"/>
      <c r="I718" s="1356"/>
      <c r="J718" s="1357"/>
      <c r="K718" s="1358">
        <v>715</v>
      </c>
      <c r="L718" s="1359"/>
      <c r="M718" s="1359"/>
      <c r="N718" s="1360"/>
      <c r="O718" s="1367">
        <f>[1]EVERYTHING!$AE$9</f>
        <v>379</v>
      </c>
      <c r="P718" s="1368"/>
      <c r="Q718" s="1368"/>
      <c r="R718" s="1368"/>
      <c r="S718" s="1369"/>
      <c r="T718" s="1367">
        <v>145</v>
      </c>
      <c r="U718" s="1368"/>
      <c r="V718" s="1368"/>
      <c r="W718" s="1369"/>
      <c r="X718" s="1387">
        <f t="shared" ref="X718:X741" si="59">O718+T718</f>
        <v>524</v>
      </c>
      <c r="Y718" s="1388"/>
      <c r="Z718" s="1388"/>
      <c r="AA718" s="1388"/>
      <c r="AB718" s="1389"/>
      <c r="AC718" s="1406">
        <v>0.3</v>
      </c>
      <c r="AD718" s="1407"/>
      <c r="AE718" s="1407"/>
      <c r="AF718" s="1407"/>
      <c r="AG718" s="1408"/>
      <c r="AH718" s="1398">
        <f t="shared" ref="AH718:AH751" si="60">IF($AC718&gt;0,($X718/$BA667), "")</f>
        <v>0.2997711670480549</v>
      </c>
      <c r="AI718" s="1399"/>
      <c r="AJ718" s="1400"/>
      <c r="AK718" s="1391" t="s">
        <v>600</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326</v>
      </c>
      <c r="C719" s="1392"/>
      <c r="D719" s="1392"/>
      <c r="E719" s="1392"/>
      <c r="F719" s="1393"/>
      <c r="G719" s="1355">
        <v>3</v>
      </c>
      <c r="H719" s="1356"/>
      <c r="I719" s="1356"/>
      <c r="J719" s="1357"/>
      <c r="K719" s="1358">
        <v>715</v>
      </c>
      <c r="L719" s="1359"/>
      <c r="M719" s="1359"/>
      <c r="N719" s="1360"/>
      <c r="O719" s="1367">
        <f>[1]EVERYTHING!$AE$10</f>
        <v>554</v>
      </c>
      <c r="P719" s="1368"/>
      <c r="Q719" s="1368"/>
      <c r="R719" s="1368"/>
      <c r="S719" s="1369"/>
      <c r="T719" s="1367">
        <v>145</v>
      </c>
      <c r="U719" s="1368"/>
      <c r="V719" s="1368"/>
      <c r="W719" s="1369"/>
      <c r="X719" s="1387">
        <f t="shared" si="59"/>
        <v>699</v>
      </c>
      <c r="Y719" s="1388"/>
      <c r="Z719" s="1388"/>
      <c r="AA719" s="1388"/>
      <c r="AB719" s="1389"/>
      <c r="AC719" s="1406">
        <v>0.4</v>
      </c>
      <c r="AD719" s="1407"/>
      <c r="AE719" s="1407"/>
      <c r="AF719" s="1407"/>
      <c r="AG719" s="1408"/>
      <c r="AH719" s="1398">
        <f t="shared" si="60"/>
        <v>0.39988558352402748</v>
      </c>
      <c r="AI719" s="1399"/>
      <c r="AJ719" s="1400"/>
      <c r="AK719" s="1391" t="s">
        <v>600</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326</v>
      </c>
      <c r="C720" s="1392"/>
      <c r="D720" s="1392"/>
      <c r="E720" s="1392"/>
      <c r="F720" s="1393"/>
      <c r="G720" s="1355">
        <v>19</v>
      </c>
      <c r="H720" s="1356"/>
      <c r="I720" s="1356"/>
      <c r="J720" s="1357"/>
      <c r="K720" s="1358">
        <v>715</v>
      </c>
      <c r="L720" s="1359"/>
      <c r="M720" s="1359"/>
      <c r="N720" s="1360"/>
      <c r="O720" s="1367">
        <f>[1]EVERYTHING!$AE$11</f>
        <v>554</v>
      </c>
      <c r="P720" s="1368"/>
      <c r="Q720" s="1368"/>
      <c r="R720" s="1368"/>
      <c r="S720" s="1369"/>
      <c r="T720" s="1367">
        <v>145</v>
      </c>
      <c r="U720" s="1368"/>
      <c r="V720" s="1368"/>
      <c r="W720" s="1369"/>
      <c r="X720" s="1387">
        <f t="shared" si="59"/>
        <v>699</v>
      </c>
      <c r="Y720" s="1388"/>
      <c r="Z720" s="1388"/>
      <c r="AA720" s="1388"/>
      <c r="AB720" s="1389"/>
      <c r="AC720" s="1406">
        <v>0.4</v>
      </c>
      <c r="AD720" s="1407"/>
      <c r="AE720" s="1407"/>
      <c r="AF720" s="1407"/>
      <c r="AG720" s="1408"/>
      <c r="AH720" s="1398">
        <f t="shared" si="60"/>
        <v>0.39988558352402748</v>
      </c>
      <c r="AI720" s="1399"/>
      <c r="AJ720" s="1400"/>
      <c r="AK720" s="1391" t="s">
        <v>600</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326</v>
      </c>
      <c r="C721" s="1392"/>
      <c r="D721" s="1392"/>
      <c r="E721" s="1392"/>
      <c r="F721" s="1393"/>
      <c r="G721" s="1355">
        <v>2</v>
      </c>
      <c r="H721" s="1356"/>
      <c r="I721" s="1356"/>
      <c r="J721" s="1357"/>
      <c r="K721" s="1358">
        <v>715</v>
      </c>
      <c r="L721" s="1359"/>
      <c r="M721" s="1359"/>
      <c r="N721" s="1360"/>
      <c r="O721" s="1367">
        <f>[1]EVERYTHING!$AE$12</f>
        <v>729</v>
      </c>
      <c r="P721" s="1368"/>
      <c r="Q721" s="1368"/>
      <c r="R721" s="1368"/>
      <c r="S721" s="1369"/>
      <c r="T721" s="1367">
        <v>145</v>
      </c>
      <c r="U721" s="1368"/>
      <c r="V721" s="1368"/>
      <c r="W721" s="1369"/>
      <c r="X721" s="1387">
        <f t="shared" si="59"/>
        <v>874</v>
      </c>
      <c r="Y721" s="1388"/>
      <c r="Z721" s="1388"/>
      <c r="AA721" s="1388"/>
      <c r="AB721" s="1389"/>
      <c r="AC721" s="1406">
        <v>0.5</v>
      </c>
      <c r="AD721" s="1407"/>
      <c r="AE721" s="1407"/>
      <c r="AF721" s="1407"/>
      <c r="AG721" s="1408"/>
      <c r="AH721" s="1398">
        <f t="shared" si="60"/>
        <v>0.5</v>
      </c>
      <c r="AI721" s="1399"/>
      <c r="AJ721" s="1400"/>
      <c r="AK721" s="1391" t="s">
        <v>600</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326</v>
      </c>
      <c r="C722" s="1392"/>
      <c r="D722" s="1392"/>
      <c r="E722" s="1392"/>
      <c r="F722" s="1393"/>
      <c r="G722" s="1355">
        <v>1</v>
      </c>
      <c r="H722" s="1356"/>
      <c r="I722" s="1356"/>
      <c r="J722" s="1357"/>
      <c r="K722" s="1358">
        <v>715</v>
      </c>
      <c r="L722" s="1359"/>
      <c r="M722" s="1359"/>
      <c r="N722" s="1360"/>
      <c r="O722" s="1367">
        <f>[1]EVERYTHING!$AE$13</f>
        <v>904</v>
      </c>
      <c r="P722" s="1368"/>
      <c r="Q722" s="1368"/>
      <c r="R722" s="1368"/>
      <c r="S722" s="1369"/>
      <c r="T722" s="1367">
        <v>145</v>
      </c>
      <c r="U722" s="1368"/>
      <c r="V722" s="1368"/>
      <c r="W722" s="1369"/>
      <c r="X722" s="1387">
        <f t="shared" si="59"/>
        <v>1049</v>
      </c>
      <c r="Y722" s="1388"/>
      <c r="Z722" s="1388"/>
      <c r="AA722" s="1388"/>
      <c r="AB722" s="1389"/>
      <c r="AC722" s="1406">
        <v>0.6</v>
      </c>
      <c r="AD722" s="1407"/>
      <c r="AE722" s="1407"/>
      <c r="AF722" s="1407"/>
      <c r="AG722" s="1408"/>
      <c r="AH722" s="1398">
        <f t="shared" si="60"/>
        <v>0.60011441647597252</v>
      </c>
      <c r="AI722" s="1399"/>
      <c r="AJ722" s="1400"/>
      <c r="AK722" s="1391" t="s">
        <v>600</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163</v>
      </c>
      <c r="C723" s="1392"/>
      <c r="D723" s="1392"/>
      <c r="E723" s="1392"/>
      <c r="F723" s="1393"/>
      <c r="G723" s="1355">
        <v>7</v>
      </c>
      <c r="H723" s="1356"/>
      <c r="I723" s="1356"/>
      <c r="J723" s="1357"/>
      <c r="K723" s="1358">
        <v>939</v>
      </c>
      <c r="L723" s="1359"/>
      <c r="M723" s="1359"/>
      <c r="N723" s="1360"/>
      <c r="O723" s="1367">
        <f>[1]EVERYTHING!$AE$14</f>
        <v>451</v>
      </c>
      <c r="P723" s="1368"/>
      <c r="Q723" s="1368"/>
      <c r="R723" s="1368"/>
      <c r="S723" s="1369"/>
      <c r="T723" s="1367">
        <v>178</v>
      </c>
      <c r="U723" s="1368"/>
      <c r="V723" s="1368"/>
      <c r="W723" s="1369"/>
      <c r="X723" s="1387">
        <f t="shared" si="59"/>
        <v>629</v>
      </c>
      <c r="Y723" s="1388"/>
      <c r="Z723" s="1388"/>
      <c r="AA723" s="1388"/>
      <c r="AB723" s="1389"/>
      <c r="AC723" s="1406">
        <v>0.3</v>
      </c>
      <c r="AD723" s="1407"/>
      <c r="AE723" s="1407"/>
      <c r="AF723" s="1407"/>
      <c r="AG723" s="1408"/>
      <c r="AH723" s="1398">
        <f t="shared" si="60"/>
        <v>0.30009541984732824</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163</v>
      </c>
      <c r="C724" s="1392"/>
      <c r="D724" s="1392"/>
      <c r="E724" s="1392"/>
      <c r="F724" s="1393"/>
      <c r="G724" s="1355">
        <v>5</v>
      </c>
      <c r="H724" s="1356"/>
      <c r="I724" s="1356"/>
      <c r="J724" s="1357"/>
      <c r="K724" s="1358">
        <v>939</v>
      </c>
      <c r="L724" s="1359"/>
      <c r="M724" s="1359"/>
      <c r="N724" s="1360"/>
      <c r="O724" s="1367">
        <f>[1]EVERYTHING!$AE$15</f>
        <v>661</v>
      </c>
      <c r="P724" s="1368"/>
      <c r="Q724" s="1368"/>
      <c r="R724" s="1368"/>
      <c r="S724" s="1369"/>
      <c r="T724" s="1367">
        <v>178</v>
      </c>
      <c r="U724" s="1368"/>
      <c r="V724" s="1368"/>
      <c r="W724" s="1369"/>
      <c r="X724" s="1387">
        <f t="shared" si="59"/>
        <v>839</v>
      </c>
      <c r="Y724" s="1388"/>
      <c r="Z724" s="1388"/>
      <c r="AA724" s="1388"/>
      <c r="AB724" s="1389"/>
      <c r="AC724" s="1406">
        <v>0.4</v>
      </c>
      <c r="AD724" s="1407"/>
      <c r="AE724" s="1407"/>
      <c r="AF724" s="1407"/>
      <c r="AG724" s="1408"/>
      <c r="AH724" s="1398">
        <f t="shared" si="60"/>
        <v>0.40028625954198471</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t="s">
        <v>163</v>
      </c>
      <c r="C725" s="1392"/>
      <c r="D725" s="1392"/>
      <c r="E725" s="1392"/>
      <c r="F725" s="1393"/>
      <c r="G725" s="1355">
        <v>18</v>
      </c>
      <c r="H725" s="1356"/>
      <c r="I725" s="1356"/>
      <c r="J725" s="1357"/>
      <c r="K725" s="1358">
        <v>939</v>
      </c>
      <c r="L725" s="1359"/>
      <c r="M725" s="1359"/>
      <c r="N725" s="1360"/>
      <c r="O725" s="1367">
        <f>[1]EVERYTHING!$AE$16</f>
        <v>661</v>
      </c>
      <c r="P725" s="1368"/>
      <c r="Q725" s="1368"/>
      <c r="R725" s="1368"/>
      <c r="S725" s="1369"/>
      <c r="T725" s="1367">
        <v>178</v>
      </c>
      <c r="U725" s="1368"/>
      <c r="V725" s="1368"/>
      <c r="W725" s="1369"/>
      <c r="X725" s="1387">
        <f t="shared" si="59"/>
        <v>839</v>
      </c>
      <c r="Y725" s="1388"/>
      <c r="Z725" s="1388"/>
      <c r="AA725" s="1388"/>
      <c r="AB725" s="1389"/>
      <c r="AC725" s="1406">
        <v>0.4</v>
      </c>
      <c r="AD725" s="1407"/>
      <c r="AE725" s="1407"/>
      <c r="AF725" s="1407"/>
      <c r="AG725" s="1408"/>
      <c r="AH725" s="1398">
        <f t="shared" si="60"/>
        <v>0.40028625954198471</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t="s">
        <v>163</v>
      </c>
      <c r="C726" s="1392"/>
      <c r="D726" s="1392"/>
      <c r="E726" s="1392"/>
      <c r="F726" s="1393"/>
      <c r="G726" s="1355">
        <v>3</v>
      </c>
      <c r="H726" s="1356"/>
      <c r="I726" s="1356"/>
      <c r="J726" s="1357"/>
      <c r="K726" s="1358">
        <v>939</v>
      </c>
      <c r="L726" s="1359"/>
      <c r="M726" s="1359"/>
      <c r="N726" s="1360"/>
      <c r="O726" s="1367">
        <f>[1]EVERYTHING!$AE$17</f>
        <v>870</v>
      </c>
      <c r="P726" s="1368"/>
      <c r="Q726" s="1368"/>
      <c r="R726" s="1368"/>
      <c r="S726" s="1369"/>
      <c r="T726" s="1367">
        <v>178</v>
      </c>
      <c r="U726" s="1368"/>
      <c r="V726" s="1368"/>
      <c r="W726" s="1369"/>
      <c r="X726" s="1387">
        <f t="shared" si="59"/>
        <v>1048</v>
      </c>
      <c r="Y726" s="1388"/>
      <c r="Z726" s="1388"/>
      <c r="AA726" s="1388"/>
      <c r="AB726" s="1389"/>
      <c r="AC726" s="1406">
        <v>0.5</v>
      </c>
      <c r="AD726" s="1407"/>
      <c r="AE726" s="1407"/>
      <c r="AF726" s="1407"/>
      <c r="AG726" s="1408"/>
      <c r="AH726" s="1398">
        <f t="shared" si="60"/>
        <v>0.5</v>
      </c>
      <c r="AI726" s="1399"/>
      <c r="AJ726" s="1400"/>
      <c r="AK726" s="1391" t="s">
        <v>600</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t="s">
        <v>163</v>
      </c>
      <c r="C727" s="1392"/>
      <c r="D727" s="1392"/>
      <c r="E727" s="1392"/>
      <c r="F727" s="1393"/>
      <c r="G727" s="1355">
        <v>1</v>
      </c>
      <c r="H727" s="1356"/>
      <c r="I727" s="1356"/>
      <c r="J727" s="1357"/>
      <c r="K727" s="1358">
        <v>1014</v>
      </c>
      <c r="L727" s="1359"/>
      <c r="M727" s="1359"/>
      <c r="N727" s="1360"/>
      <c r="O727" s="1367">
        <f>[1]EVERYTHING!$AE$18</f>
        <v>1080</v>
      </c>
      <c r="P727" s="1368"/>
      <c r="Q727" s="1368"/>
      <c r="R727" s="1368"/>
      <c r="S727" s="1369"/>
      <c r="T727" s="1367">
        <v>178</v>
      </c>
      <c r="U727" s="1368"/>
      <c r="V727" s="1368"/>
      <c r="W727" s="1369"/>
      <c r="X727" s="1387">
        <f t="shared" si="59"/>
        <v>1258</v>
      </c>
      <c r="Y727" s="1388"/>
      <c r="Z727" s="1388"/>
      <c r="AA727" s="1388"/>
      <c r="AB727" s="1389"/>
      <c r="AC727" s="1406">
        <v>0.6</v>
      </c>
      <c r="AD727" s="1407"/>
      <c r="AE727" s="1407"/>
      <c r="AF727" s="1407"/>
      <c r="AG727" s="1408"/>
      <c r="AH727" s="1398">
        <f t="shared" si="60"/>
        <v>0.60019083969465647</v>
      </c>
      <c r="AI727" s="1399"/>
      <c r="AJ727" s="1400"/>
      <c r="AK727" s="1391" t="s">
        <v>600</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t="s">
        <v>164</v>
      </c>
      <c r="C728" s="1392"/>
      <c r="D728" s="1392"/>
      <c r="E728" s="1392"/>
      <c r="F728" s="1393"/>
      <c r="G728" s="1355">
        <v>3</v>
      </c>
      <c r="H728" s="1356"/>
      <c r="I728" s="1356"/>
      <c r="J728" s="1357"/>
      <c r="K728" s="1358">
        <v>1307</v>
      </c>
      <c r="L728" s="1359"/>
      <c r="M728" s="1359"/>
      <c r="N728" s="1360"/>
      <c r="O728" s="1367">
        <f>[1]EVERYTHING!$AE$19</f>
        <v>514</v>
      </c>
      <c r="P728" s="1368"/>
      <c r="Q728" s="1368"/>
      <c r="R728" s="1368"/>
      <c r="S728" s="1369"/>
      <c r="T728" s="1367">
        <v>213</v>
      </c>
      <c r="U728" s="1368"/>
      <c r="V728" s="1368"/>
      <c r="W728" s="1369"/>
      <c r="X728" s="1387">
        <f t="shared" si="59"/>
        <v>727</v>
      </c>
      <c r="Y728" s="1388"/>
      <c r="Z728" s="1388"/>
      <c r="AA728" s="1388"/>
      <c r="AB728" s="1389"/>
      <c r="AC728" s="1406">
        <v>0.3</v>
      </c>
      <c r="AD728" s="1407"/>
      <c r="AE728" s="1407"/>
      <c r="AF728" s="1407"/>
      <c r="AG728" s="1408"/>
      <c r="AH728" s="1398">
        <f t="shared" si="60"/>
        <v>0.30016515276630884</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t="s">
        <v>164</v>
      </c>
      <c r="C729" s="1392"/>
      <c r="D729" s="1392"/>
      <c r="E729" s="1392"/>
      <c r="F729" s="1393"/>
      <c r="G729" s="1355">
        <v>4</v>
      </c>
      <c r="H729" s="1356"/>
      <c r="I729" s="1356"/>
      <c r="J729" s="1357"/>
      <c r="K729" s="1358">
        <v>1307</v>
      </c>
      <c r="L729" s="1359"/>
      <c r="M729" s="1359"/>
      <c r="N729" s="1360"/>
      <c r="O729" s="1367">
        <f>[1]EVERYTHING!$AE$20</f>
        <v>514</v>
      </c>
      <c r="P729" s="1368"/>
      <c r="Q729" s="1368"/>
      <c r="R729" s="1368"/>
      <c r="S729" s="1369"/>
      <c r="T729" s="1367">
        <v>213</v>
      </c>
      <c r="U729" s="1368"/>
      <c r="V729" s="1368"/>
      <c r="W729" s="1369"/>
      <c r="X729" s="1387">
        <f t="shared" si="59"/>
        <v>727</v>
      </c>
      <c r="Y729" s="1388"/>
      <c r="Z729" s="1388"/>
      <c r="AA729" s="1388"/>
      <c r="AB729" s="1389"/>
      <c r="AC729" s="1406">
        <v>0.3</v>
      </c>
      <c r="AD729" s="1407"/>
      <c r="AE729" s="1407"/>
      <c r="AF729" s="1407"/>
      <c r="AG729" s="1408"/>
      <c r="AH729" s="1398">
        <f t="shared" si="60"/>
        <v>0.30016515276630884</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t="s">
        <v>164</v>
      </c>
      <c r="C730" s="1392"/>
      <c r="D730" s="1392"/>
      <c r="E730" s="1392"/>
      <c r="F730" s="1393"/>
      <c r="G730" s="1355">
        <v>8</v>
      </c>
      <c r="H730" s="1356"/>
      <c r="I730" s="1356"/>
      <c r="J730" s="1357"/>
      <c r="K730" s="1358">
        <v>1307</v>
      </c>
      <c r="L730" s="1359"/>
      <c r="M730" s="1359"/>
      <c r="N730" s="1360"/>
      <c r="O730" s="1367">
        <f>[1]EVERYTHING!$AE$21</f>
        <v>756</v>
      </c>
      <c r="P730" s="1368"/>
      <c r="Q730" s="1368"/>
      <c r="R730" s="1368"/>
      <c r="S730" s="1369"/>
      <c r="T730" s="1367">
        <v>213</v>
      </c>
      <c r="U730" s="1368"/>
      <c r="V730" s="1368"/>
      <c r="W730" s="1369"/>
      <c r="X730" s="1387">
        <f t="shared" si="59"/>
        <v>969</v>
      </c>
      <c r="Y730" s="1388"/>
      <c r="Z730" s="1388"/>
      <c r="AA730" s="1388"/>
      <c r="AB730" s="1389"/>
      <c r="AC730" s="1406">
        <v>0.4</v>
      </c>
      <c r="AD730" s="1407"/>
      <c r="AE730" s="1407"/>
      <c r="AF730" s="1407"/>
      <c r="AG730" s="1408"/>
      <c r="AH730" s="1398">
        <f t="shared" si="60"/>
        <v>0.40008257638315442</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t="s">
        <v>164</v>
      </c>
      <c r="C731" s="1392"/>
      <c r="D731" s="1392"/>
      <c r="E731" s="1392"/>
      <c r="F731" s="1393"/>
      <c r="G731" s="1355">
        <v>4</v>
      </c>
      <c r="H731" s="1356"/>
      <c r="I731" s="1356"/>
      <c r="J731" s="1357"/>
      <c r="K731" s="1358">
        <v>1307</v>
      </c>
      <c r="L731" s="1359"/>
      <c r="M731" s="1359"/>
      <c r="N731" s="1360"/>
      <c r="O731" s="1367">
        <f>[1]EVERYTHING!$AE$22</f>
        <v>756</v>
      </c>
      <c r="P731" s="1368"/>
      <c r="Q731" s="1368"/>
      <c r="R731" s="1368"/>
      <c r="S731" s="1369"/>
      <c r="T731" s="1367">
        <v>213</v>
      </c>
      <c r="U731" s="1368"/>
      <c r="V731" s="1368"/>
      <c r="W731" s="1369"/>
      <c r="X731" s="1387">
        <f t="shared" si="59"/>
        <v>969</v>
      </c>
      <c r="Y731" s="1388"/>
      <c r="Z731" s="1388"/>
      <c r="AA731" s="1388"/>
      <c r="AB731" s="1389"/>
      <c r="AC731" s="1406">
        <v>0.4</v>
      </c>
      <c r="AD731" s="1407"/>
      <c r="AE731" s="1407"/>
      <c r="AF731" s="1407"/>
      <c r="AG731" s="1408"/>
      <c r="AH731" s="1398">
        <f t="shared" si="60"/>
        <v>0.40008257638315442</v>
      </c>
      <c r="AI731" s="1399"/>
      <c r="AJ731" s="1400"/>
      <c r="AK731" s="1391" t="s">
        <v>600</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t="s">
        <v>164</v>
      </c>
      <c r="C732" s="1392"/>
      <c r="D732" s="1392"/>
      <c r="E732" s="1392"/>
      <c r="F732" s="1393"/>
      <c r="G732" s="1355">
        <v>3</v>
      </c>
      <c r="H732" s="1356"/>
      <c r="I732" s="1356"/>
      <c r="J732" s="1357"/>
      <c r="K732" s="1358">
        <v>1307</v>
      </c>
      <c r="L732" s="1359"/>
      <c r="M732" s="1359"/>
      <c r="N732" s="1360"/>
      <c r="O732" s="1367">
        <f>[1]EVERYTHING!$AE$23</f>
        <v>998</v>
      </c>
      <c r="P732" s="1368"/>
      <c r="Q732" s="1368"/>
      <c r="R732" s="1368"/>
      <c r="S732" s="1369"/>
      <c r="T732" s="1367">
        <v>213</v>
      </c>
      <c r="U732" s="1368"/>
      <c r="V732" s="1368"/>
      <c r="W732" s="1369"/>
      <c r="X732" s="1387">
        <f t="shared" si="59"/>
        <v>1211</v>
      </c>
      <c r="Y732" s="1388"/>
      <c r="Z732" s="1388"/>
      <c r="AA732" s="1388"/>
      <c r="AB732" s="1389"/>
      <c r="AC732" s="1406">
        <v>0.5</v>
      </c>
      <c r="AD732" s="1407"/>
      <c r="AE732" s="1407"/>
      <c r="AF732" s="1407"/>
      <c r="AG732" s="1408"/>
      <c r="AH732" s="1398">
        <f t="shared" si="60"/>
        <v>0.5</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t="s">
        <v>164</v>
      </c>
      <c r="C733" s="1392"/>
      <c r="D733" s="1392"/>
      <c r="E733" s="1392"/>
      <c r="F733" s="1393"/>
      <c r="G733" s="1355">
        <v>2</v>
      </c>
      <c r="H733" s="1356"/>
      <c r="I733" s="1356"/>
      <c r="J733" s="1357"/>
      <c r="K733" s="1358">
        <v>1307</v>
      </c>
      <c r="L733" s="1359"/>
      <c r="M733" s="1359"/>
      <c r="N733" s="1360"/>
      <c r="O733" s="1367">
        <f>[1]EVERYTHING!$AE$24</f>
        <v>998</v>
      </c>
      <c r="P733" s="1368"/>
      <c r="Q733" s="1368"/>
      <c r="R733" s="1368"/>
      <c r="S733" s="1369"/>
      <c r="T733" s="1367">
        <v>213</v>
      </c>
      <c r="U733" s="1368"/>
      <c r="V733" s="1368"/>
      <c r="W733" s="1369"/>
      <c r="X733" s="1387">
        <f t="shared" si="59"/>
        <v>1211</v>
      </c>
      <c r="Y733" s="1388"/>
      <c r="Z733" s="1388"/>
      <c r="AA733" s="1388"/>
      <c r="AB733" s="1389"/>
      <c r="AC733" s="1406">
        <v>0.5</v>
      </c>
      <c r="AD733" s="1407"/>
      <c r="AE733" s="1407"/>
      <c r="AF733" s="1407"/>
      <c r="AG733" s="1408"/>
      <c r="AH733" s="1398">
        <f t="shared" si="60"/>
        <v>0.5</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t="s">
        <v>164</v>
      </c>
      <c r="C734" s="1392"/>
      <c r="D734" s="1392"/>
      <c r="E734" s="1392"/>
      <c r="F734" s="1393"/>
      <c r="G734" s="1355">
        <v>2</v>
      </c>
      <c r="H734" s="1356"/>
      <c r="I734" s="1356"/>
      <c r="J734" s="1357"/>
      <c r="K734" s="1358">
        <v>1307</v>
      </c>
      <c r="L734" s="1359"/>
      <c r="M734" s="1359"/>
      <c r="N734" s="1360"/>
      <c r="O734" s="1367">
        <f>[1]EVERYTHING!$AE$25</f>
        <v>1241</v>
      </c>
      <c r="P734" s="1368"/>
      <c r="Q734" s="1368"/>
      <c r="R734" s="1368"/>
      <c r="S734" s="1369"/>
      <c r="T734" s="1367">
        <v>213</v>
      </c>
      <c r="U734" s="1368"/>
      <c r="V734" s="1368"/>
      <c r="W734" s="1369"/>
      <c r="X734" s="1387">
        <f t="shared" si="59"/>
        <v>1454</v>
      </c>
      <c r="Y734" s="1388"/>
      <c r="Z734" s="1388"/>
      <c r="AA734" s="1388"/>
      <c r="AB734" s="1389"/>
      <c r="AC734" s="1406">
        <v>0.6</v>
      </c>
      <c r="AD734" s="1407"/>
      <c r="AE734" s="1407"/>
      <c r="AF734" s="1407"/>
      <c r="AG734" s="1408"/>
      <c r="AH734" s="1398">
        <f t="shared" si="60"/>
        <v>0.60033030553261768</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t="s">
        <v>165</v>
      </c>
      <c r="C735" s="1392"/>
      <c r="D735" s="1392"/>
      <c r="E735" s="1392"/>
      <c r="F735" s="1393"/>
      <c r="G735" s="1355">
        <v>1</v>
      </c>
      <c r="H735" s="1356"/>
      <c r="I735" s="1356"/>
      <c r="J735" s="1357"/>
      <c r="K735" s="1358">
        <v>1472</v>
      </c>
      <c r="L735" s="1359"/>
      <c r="M735" s="1359"/>
      <c r="N735" s="1360"/>
      <c r="O735" s="1367">
        <f>[1]EVERYTHING!$AE$26</f>
        <v>563</v>
      </c>
      <c r="P735" s="1368"/>
      <c r="Q735" s="1368"/>
      <c r="R735" s="1368"/>
      <c r="S735" s="1369"/>
      <c r="T735" s="1367">
        <v>248</v>
      </c>
      <c r="U735" s="1368"/>
      <c r="V735" s="1368"/>
      <c r="W735" s="1369"/>
      <c r="X735" s="1387">
        <f t="shared" si="59"/>
        <v>811</v>
      </c>
      <c r="Y735" s="1388"/>
      <c r="Z735" s="1388"/>
      <c r="AA735" s="1388"/>
      <c r="AB735" s="1389"/>
      <c r="AC735" s="1406">
        <v>0.3</v>
      </c>
      <c r="AD735" s="1407"/>
      <c r="AE735" s="1407"/>
      <c r="AF735" s="1407"/>
      <c r="AG735" s="1408"/>
      <c r="AH735" s="1398">
        <f t="shared" si="60"/>
        <v>0.2999260355029586</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t="s">
        <v>165</v>
      </c>
      <c r="C736" s="1392"/>
      <c r="D736" s="1392"/>
      <c r="E736" s="1392"/>
      <c r="F736" s="1393"/>
      <c r="G736" s="1355">
        <v>2</v>
      </c>
      <c r="H736" s="1356"/>
      <c r="I736" s="1356"/>
      <c r="J736" s="1357"/>
      <c r="K736" s="1358">
        <v>1472</v>
      </c>
      <c r="L736" s="1359"/>
      <c r="M736" s="1359"/>
      <c r="N736" s="1360"/>
      <c r="O736" s="1367">
        <f>[1]EVERYTHING!$AE$27</f>
        <v>563</v>
      </c>
      <c r="P736" s="1368"/>
      <c r="Q736" s="1368"/>
      <c r="R736" s="1368"/>
      <c r="S736" s="1369"/>
      <c r="T736" s="1367">
        <v>248</v>
      </c>
      <c r="U736" s="1368"/>
      <c r="V736" s="1368"/>
      <c r="W736" s="1369"/>
      <c r="X736" s="1387">
        <f t="shared" si="59"/>
        <v>811</v>
      </c>
      <c r="Y736" s="1388"/>
      <c r="Z736" s="1388"/>
      <c r="AA736" s="1388"/>
      <c r="AB736" s="1389"/>
      <c r="AC736" s="1406">
        <v>0.3</v>
      </c>
      <c r="AD736" s="1407"/>
      <c r="AE736" s="1407"/>
      <c r="AF736" s="1407"/>
      <c r="AG736" s="1408"/>
      <c r="AH736" s="1398">
        <f t="shared" si="60"/>
        <v>0.2999260355029586</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t="s">
        <v>165</v>
      </c>
      <c r="C737" s="1392"/>
      <c r="D737" s="1392"/>
      <c r="E737" s="1392"/>
      <c r="F737" s="1393"/>
      <c r="G737" s="1355">
        <v>2</v>
      </c>
      <c r="H737" s="1356"/>
      <c r="I737" s="1356"/>
      <c r="J737" s="1357"/>
      <c r="K737" s="1358">
        <v>1472</v>
      </c>
      <c r="L737" s="1359"/>
      <c r="M737" s="1359"/>
      <c r="N737" s="1360"/>
      <c r="O737" s="1367">
        <f>[1]EVERYTHING!$AE$28</f>
        <v>834</v>
      </c>
      <c r="P737" s="1368"/>
      <c r="Q737" s="1368"/>
      <c r="R737" s="1368"/>
      <c r="S737" s="1369"/>
      <c r="T737" s="1367">
        <v>248</v>
      </c>
      <c r="U737" s="1368"/>
      <c r="V737" s="1368"/>
      <c r="W737" s="1369"/>
      <c r="X737" s="1387">
        <f t="shared" si="59"/>
        <v>1082</v>
      </c>
      <c r="Y737" s="1388"/>
      <c r="Z737" s="1388"/>
      <c r="AA737" s="1388"/>
      <c r="AB737" s="1389"/>
      <c r="AC737" s="1406">
        <v>0.4</v>
      </c>
      <c r="AD737" s="1407"/>
      <c r="AE737" s="1407"/>
      <c r="AF737" s="1407"/>
      <c r="AG737" s="1408"/>
      <c r="AH737" s="1398">
        <f t="shared" si="60"/>
        <v>0.40014792899408286</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t="s">
        <v>165</v>
      </c>
      <c r="C738" s="1392"/>
      <c r="D738" s="1392"/>
      <c r="E738" s="1392"/>
      <c r="F738" s="1393"/>
      <c r="G738" s="1355">
        <v>3</v>
      </c>
      <c r="H738" s="1356"/>
      <c r="I738" s="1356"/>
      <c r="J738" s="1357"/>
      <c r="K738" s="1358">
        <v>1472</v>
      </c>
      <c r="L738" s="1359"/>
      <c r="M738" s="1359"/>
      <c r="N738" s="1360"/>
      <c r="O738" s="1367">
        <f>[1]EVERYTHING!$AE$29</f>
        <v>1104</v>
      </c>
      <c r="P738" s="1368"/>
      <c r="Q738" s="1368"/>
      <c r="R738" s="1368"/>
      <c r="S738" s="1369"/>
      <c r="T738" s="1367">
        <v>248</v>
      </c>
      <c r="U738" s="1368"/>
      <c r="V738" s="1368"/>
      <c r="W738" s="1369"/>
      <c r="X738" s="1387">
        <f t="shared" si="59"/>
        <v>1352</v>
      </c>
      <c r="Y738" s="1388"/>
      <c r="Z738" s="1388"/>
      <c r="AA738" s="1388"/>
      <c r="AB738" s="1389"/>
      <c r="AC738" s="1406">
        <v>0.5</v>
      </c>
      <c r="AD738" s="1407"/>
      <c r="AE738" s="1407"/>
      <c r="AF738" s="1407"/>
      <c r="AG738" s="1408"/>
      <c r="AH738" s="1398">
        <f t="shared" si="60"/>
        <v>0.5</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0" t="s">
        <v>125</v>
      </c>
      <c r="C753" s="1651"/>
      <c r="D753" s="1651"/>
      <c r="E753" s="1651"/>
      <c r="F753" s="1652"/>
      <c r="G753" s="1647">
        <f>SUM(G718:G752)</f>
        <v>99</v>
      </c>
      <c r="H753" s="1648"/>
      <c r="I753" s="1648"/>
      <c r="J753" s="1649"/>
      <c r="K753" s="937" t="s">
        <v>124</v>
      </c>
      <c r="L753" s="5"/>
      <c r="M753" s="5"/>
      <c r="N753" s="46"/>
      <c r="O753" s="1387">
        <f>SUMPRODUCT(G718:G752,O718:O752)</f>
        <v>65685</v>
      </c>
      <c r="P753" s="1388"/>
      <c r="Q753" s="1388"/>
      <c r="R753" s="1388"/>
      <c r="S753" s="1389"/>
      <c r="T753"/>
      <c r="U753"/>
      <c r="V753"/>
      <c r="W753"/>
      <c r="X753" s="939" t="s">
        <v>916</v>
      </c>
      <c r="Y753" s="938"/>
      <c r="Z753" s="938"/>
      <c r="AA753" s="938"/>
      <c r="AB753" s="940"/>
      <c r="AC753" s="1653">
        <f>BI703</f>
        <v>0.39797979797979793</v>
      </c>
      <c r="AD753" s="1654"/>
      <c r="AE753" s="1654"/>
      <c r="AF753" s="1654"/>
      <c r="AG753" s="1655"/>
      <c r="AH753" s="1653">
        <f>IFERROR(BV703,"")</f>
        <v>0.39804594511018992</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89">
        <f>CS634</f>
        <v>209</v>
      </c>
      <c r="P756" s="1489"/>
      <c r="Q756" s="1489"/>
      <c r="R756" s="1489"/>
      <c r="S756" s="1004"/>
      <c r="T756" s="1004"/>
      <c r="U756" s="118" t="s">
        <v>2183</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3" t="s">
        <v>1869</v>
      </c>
      <c r="U769" s="1764"/>
      <c r="V769" s="1764"/>
      <c r="W769" s="1765"/>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164</v>
      </c>
      <c r="K773" s="1392"/>
      <c r="L773" s="1392"/>
      <c r="M773" s="1392"/>
      <c r="N773" s="1393"/>
      <c r="O773" s="1363">
        <v>1</v>
      </c>
      <c r="P773" s="1363"/>
      <c r="Q773" s="1363"/>
      <c r="R773" s="1363"/>
      <c r="S773" s="1363"/>
      <c r="T773" s="1358">
        <v>1307</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0" t="s">
        <v>125</v>
      </c>
      <c r="K777" s="1651"/>
      <c r="L777" s="1651"/>
      <c r="M777" s="1651"/>
      <c r="N777" s="1652"/>
      <c r="O777" s="1490">
        <f>SUM(O773:S776)</f>
        <v>1</v>
      </c>
      <c r="P777" s="1491"/>
      <c r="Q777" s="1491"/>
      <c r="R777" s="1491"/>
      <c r="S777" s="1492"/>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3" t="s">
        <v>1869</v>
      </c>
      <c r="U783" s="1764"/>
      <c r="V783" s="1764"/>
      <c r="W783" s="1765"/>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1" t="s">
        <v>478</v>
      </c>
      <c r="BO796" s="1672"/>
      <c r="BP796" s="3"/>
      <c r="BQ796" s="3"/>
      <c r="BR796" s="3"/>
      <c r="BS796" s="14" t="s">
        <v>643</v>
      </c>
      <c r="BT796" s="14"/>
      <c r="BU796" s="14"/>
      <c r="BV796" s="14"/>
      <c r="BW796" s="14"/>
      <c r="BX796" s="14"/>
      <c r="BY796" s="14"/>
      <c r="BZ796" s="14"/>
      <c r="CA796" s="14"/>
      <c r="CB796" s="1668" t="str">
        <f>T189</f>
        <v>Riverside</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65685</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788220</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25</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t="s">
        <v>2741</v>
      </c>
      <c r="AA808" s="1681"/>
      <c r="AB808" s="1681"/>
      <c r="AC808" s="1681"/>
      <c r="AD808" s="1681"/>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515448</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3" t="s">
        <v>335</v>
      </c>
      <c r="Q816" s="1574"/>
      <c r="R816" s="1574"/>
      <c r="S816" s="1574"/>
      <c r="T816" s="1574"/>
      <c r="U816" s="1574"/>
      <c r="V816" s="1574"/>
      <c r="W816" s="1574"/>
      <c r="X816" s="1574"/>
      <c r="Y816" s="1575"/>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1303668</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v>18</v>
      </c>
      <c r="R825" s="1397"/>
      <c r="S825" s="1397"/>
      <c r="T825" s="1397"/>
      <c r="U825" s="1397">
        <v>22</v>
      </c>
      <c r="V825" s="1397"/>
      <c r="W825" s="1397"/>
      <c r="X825" s="1397"/>
      <c r="Y825" s="1397">
        <v>26</v>
      </c>
      <c r="Z825" s="1397"/>
      <c r="AA825" s="1397"/>
      <c r="AB825" s="1397"/>
      <c r="AC825" s="1379">
        <v>30</v>
      </c>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v>21</v>
      </c>
      <c r="R826" s="1397"/>
      <c r="S826" s="1397"/>
      <c r="T826" s="1397"/>
      <c r="U826" s="1397">
        <v>27</v>
      </c>
      <c r="V826" s="1397"/>
      <c r="W826" s="1397"/>
      <c r="X826" s="1397"/>
      <c r="Y826" s="1397">
        <v>33</v>
      </c>
      <c r="Z826" s="1397"/>
      <c r="AA826" s="1397"/>
      <c r="AB826" s="1397"/>
      <c r="AC826" s="1379">
        <v>39</v>
      </c>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v>9</v>
      </c>
      <c r="R827" s="1397"/>
      <c r="S827" s="1397"/>
      <c r="T827" s="1397"/>
      <c r="U827" s="1397">
        <v>13</v>
      </c>
      <c r="V827" s="1397"/>
      <c r="W827" s="1397"/>
      <c r="X827" s="1397"/>
      <c r="Y827" s="1397">
        <v>18</v>
      </c>
      <c r="Z827" s="1397"/>
      <c r="AA827" s="1397"/>
      <c r="AB827" s="1397"/>
      <c r="AC827" s="1379">
        <v>22</v>
      </c>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772</v>
      </c>
      <c r="D828" s="1362"/>
      <c r="E828" s="1362"/>
      <c r="F828" s="1362"/>
      <c r="G828" s="1362"/>
      <c r="H828" s="1362"/>
      <c r="I828" s="60"/>
      <c r="J828" s="60"/>
      <c r="K828" s="60"/>
      <c r="L828" s="61"/>
      <c r="M828" s="1397"/>
      <c r="N828" s="1397"/>
      <c r="O828" s="1397"/>
      <c r="P828" s="1397"/>
      <c r="Q828" s="1397">
        <v>29</v>
      </c>
      <c r="R828" s="1397"/>
      <c r="S828" s="1397"/>
      <c r="T828" s="1397"/>
      <c r="U828" s="1397">
        <v>40</v>
      </c>
      <c r="V828" s="1397"/>
      <c r="W828" s="1397"/>
      <c r="X828" s="1397"/>
      <c r="Y828" s="1397">
        <v>51</v>
      </c>
      <c r="Z828" s="1397"/>
      <c r="AA828" s="1397"/>
      <c r="AB828" s="1397"/>
      <c r="AC828" s="1379">
        <v>62</v>
      </c>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468</v>
      </c>
      <c r="D829" s="1362"/>
      <c r="E829" s="1362"/>
      <c r="F829" s="1362"/>
      <c r="G829" s="1362"/>
      <c r="H829" s="1362"/>
      <c r="I829" s="60"/>
      <c r="J829" s="60"/>
      <c r="K829" s="60"/>
      <c r="L829" s="61"/>
      <c r="M829" s="1397"/>
      <c r="N829" s="1397"/>
      <c r="O829" s="1397"/>
      <c r="P829" s="1397"/>
      <c r="Q829" s="1397">
        <v>18</v>
      </c>
      <c r="R829" s="1397"/>
      <c r="S829" s="1397"/>
      <c r="T829" s="1397"/>
      <c r="U829" s="1397">
        <v>24</v>
      </c>
      <c r="V829" s="1397"/>
      <c r="W829" s="1397"/>
      <c r="X829" s="1397"/>
      <c r="Y829" s="1397">
        <v>31</v>
      </c>
      <c r="Z829" s="1397"/>
      <c r="AA829" s="1397"/>
      <c r="AB829" s="1397"/>
      <c r="AC829" s="1379">
        <v>38</v>
      </c>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6" t="s">
        <v>793</v>
      </c>
      <c r="D830" s="1362"/>
      <c r="E830" s="1362"/>
      <c r="F830" s="1362"/>
      <c r="G830" s="1362"/>
      <c r="H830" s="1362"/>
      <c r="I830" s="60"/>
      <c r="J830" s="60"/>
      <c r="K830" s="60"/>
      <c r="L830" s="61"/>
      <c r="M830" s="1397"/>
      <c r="N830" s="1397"/>
      <c r="O830" s="1397"/>
      <c r="P830" s="1397"/>
      <c r="Q830" s="1397">
        <v>26</v>
      </c>
      <c r="R830" s="1397"/>
      <c r="S830" s="1397"/>
      <c r="T830" s="1397"/>
      <c r="U830" s="1397">
        <v>28</v>
      </c>
      <c r="V830" s="1397"/>
      <c r="W830" s="1397"/>
      <c r="X830" s="1397"/>
      <c r="Y830" s="1397">
        <v>30</v>
      </c>
      <c r="Z830" s="1397"/>
      <c r="AA830" s="1397"/>
      <c r="AB830" s="1397"/>
      <c r="AC830" s="1379">
        <v>33</v>
      </c>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73" t="s">
        <v>2762</v>
      </c>
      <c r="G831" s="1574"/>
      <c r="H831" s="1574"/>
      <c r="I831" s="1574"/>
      <c r="J831" s="1574"/>
      <c r="K831" s="1574"/>
      <c r="L831" s="1574"/>
      <c r="M831" s="1397"/>
      <c r="N831" s="1397"/>
      <c r="O831" s="1397"/>
      <c r="P831" s="1397"/>
      <c r="Q831" s="1397">
        <v>24</v>
      </c>
      <c r="R831" s="1397"/>
      <c r="S831" s="1397"/>
      <c r="T831" s="1397"/>
      <c r="U831" s="1397">
        <v>24</v>
      </c>
      <c r="V831" s="1397"/>
      <c r="W831" s="1397"/>
      <c r="X831" s="1397"/>
      <c r="Y831" s="1397">
        <v>24</v>
      </c>
      <c r="Z831" s="1397"/>
      <c r="AA831" s="1397"/>
      <c r="AB831" s="1397"/>
      <c r="AC831" s="1379">
        <v>24</v>
      </c>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145</v>
      </c>
      <c r="R832" s="1674"/>
      <c r="S832" s="1674"/>
      <c r="T832" s="1674"/>
      <c r="U832" s="1674">
        <f>SUM(U825:X831)</f>
        <v>178</v>
      </c>
      <c r="V832" s="1674"/>
      <c r="W832" s="1674"/>
      <c r="X832" s="1674"/>
      <c r="Y832" s="1674">
        <f>SUM(Y825:AB831)</f>
        <v>213</v>
      </c>
      <c r="Z832" s="1674"/>
      <c r="AA832" s="1674"/>
      <c r="AB832" s="1674"/>
      <c r="AC832" s="1674">
        <f>SUM(AC825:AF831)</f>
        <v>248</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5" t="s">
        <v>2763</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4">
        <f>'[1]marvin op budget'!$F$34</f>
        <v>2250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4">
        <f>'[1]marvin op budget'!$F$33</f>
        <v>2000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4">
        <f>'[1]marvin op budget'!$F$32</f>
        <v>9000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4">
        <f>'[1]marvin op budget'!$F$13+'[1]marvin op budget'!$F$14</f>
        <v>27600</v>
      </c>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73" t="s">
        <v>2777</v>
      </c>
      <c r="N846" s="1574"/>
      <c r="O846" s="1574"/>
      <c r="P846" s="1574"/>
      <c r="Q846" s="1574"/>
      <c r="R846" s="1574"/>
      <c r="S846" s="1574"/>
      <c r="T846" s="1574"/>
      <c r="U846" s="1574"/>
      <c r="V846" s="1575"/>
      <c r="W846" s="1504">
        <f>'[1]marvin op budget'!$F$35+'[1]marvin op budget'!$F$36+'[1]marvin op budget'!$F$37+'[1]marvin op budget'!$F$38+'[1]marvin op budget'!$F$43</f>
        <v>17171</v>
      </c>
      <c r="X846" s="1504"/>
      <c r="Y846" s="1504"/>
      <c r="Z846" s="1504"/>
      <c r="AA846" s="1504"/>
      <c r="AB846" s="1504"/>
      <c r="AC846" s="150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58021</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4"/>
      <c r="BH848" s="1664"/>
      <c r="BI848" s="1664"/>
      <c r="BJ848" s="1664"/>
      <c r="BK848" s="1664"/>
      <c r="BL848" s="166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0" t="s">
        <v>346</v>
      </c>
      <c r="K849" s="1651"/>
      <c r="L849" s="1651"/>
      <c r="M849" s="1651"/>
      <c r="N849" s="1651"/>
      <c r="O849" s="1651"/>
      <c r="P849" s="1651"/>
      <c r="Q849" s="1651"/>
      <c r="R849" s="1651"/>
      <c r="S849" s="1651"/>
      <c r="T849" s="1651"/>
      <c r="U849" s="1651"/>
      <c r="V849" s="1652"/>
      <c r="W849" s="1394">
        <f>'[1]marvin op budget'!$F$31</f>
        <v>59400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3"/>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f>'[1]marvin op budget'!$F$24</f>
        <v>2700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3">
        <f>'[1]marvin op budget'!$F$20</f>
        <v>31000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3">
        <f>'[1]marvin op budget'!$F$21+'[1]marvin op budget'!$F$22</f>
        <v>57350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91050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6">
        <f>'[1]marvin op budget'!$F$29</f>
        <v>37440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4"/>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6">
        <f>'[1]marvin op budget'!$F$4</f>
        <v>74880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4"/>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73" t="s">
        <v>2778</v>
      </c>
      <c r="N861" s="1574"/>
      <c r="O861" s="1574"/>
      <c r="P861" s="1574"/>
      <c r="Q861" s="1574"/>
      <c r="R861" s="1574"/>
      <c r="S861" s="1574"/>
      <c r="T861" s="1574"/>
      <c r="U861" s="1574"/>
      <c r="V861" s="1575"/>
      <c r="W861" s="1736">
        <f>'[1]marvin op budget'!$F$28+'[1]marvin op budget'!$F$40+'[1]marvin op budget'!$F$41+'[1]marvin op budget'!$F$42</f>
        <v>78010.888000000006</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190330.88800000001</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f>'[1]marvin op budget'!$F$49+'[1]marvin op budget'!$F$50</f>
        <v>122828</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4">
        <f>'[1]marvin op budget'!$F$8</f>
        <v>3400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4">
        <f>'[1]marvin op budget'!$F$6+'[1]marvin op budget'!$F$5</f>
        <v>14900</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4">
        <f>'[1]marvin op budget'!$F$23</f>
        <v>31250</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4">
        <f>'[1]marvin op budget'!$F$7</f>
        <v>6600</v>
      </c>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4">
        <f>'[1]marvin op budget'!$F$9+'[1]marvin op budget'!$F$10</f>
        <v>37000</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4">
        <f>'[1]marvin op budget'!$F$12</f>
        <v>10000</v>
      </c>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73" t="s">
        <v>2779</v>
      </c>
      <c r="N871" s="1574"/>
      <c r="O871" s="1574"/>
      <c r="P871" s="1574"/>
      <c r="Q871" s="1574"/>
      <c r="R871" s="1574"/>
      <c r="S871" s="1574"/>
      <c r="T871" s="1574"/>
      <c r="U871" s="1574"/>
      <c r="V871" s="1575"/>
      <c r="W871" s="1504">
        <f>'[1]marvin op budget'!$F$3+'[1]marvin op budget'!$F$15+'[1]marvin op budget'!$F$16</f>
        <v>23420</v>
      </c>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126570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73" t="s">
        <v>2780</v>
      </c>
      <c r="N874" s="1574"/>
      <c r="O874" s="1574"/>
      <c r="P874" s="1574"/>
      <c r="Q874" s="1574"/>
      <c r="R874" s="1574"/>
      <c r="S874" s="1574"/>
      <c r="T874" s="1574"/>
      <c r="U874" s="1574"/>
      <c r="V874" s="1575"/>
      <c r="W874" s="1394">
        <f>'[1]marvin op budget'!$F$48</f>
        <v>800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73" t="s">
        <v>335</v>
      </c>
      <c r="N875" s="1574"/>
      <c r="O875" s="1574"/>
      <c r="P875" s="1574"/>
      <c r="Q875" s="1574"/>
      <c r="R875" s="1574"/>
      <c r="S875" s="1574"/>
      <c r="T875" s="1574"/>
      <c r="U875" s="1574"/>
      <c r="V875" s="1575"/>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73" t="s">
        <v>335</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73"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73"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800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648999.88800000004</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4">
        <f>O797+O777+G753</f>
        <v>100</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50">
        <f>IF(ISERROR((ROUNDDOWN(AC883/AC884,0))),0,(ROUNDDOWN(AC883/AC884,0)))</f>
        <v>6489</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4">
        <f>'Sources and Uses Budget'!C75</f>
        <v>582706.89883132791</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f>'[1]marvin op budget'!$F$39</f>
        <v>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f>[1]EVERYTHING!$AG$70</f>
        <v>50000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f>'[1]marvin op budget'!$F$47</f>
        <v>6000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2781</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4">
        <f>[1]EVERYTHING!$AG$67</f>
        <v>4000</v>
      </c>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976</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3" t="s">
        <v>96</v>
      </c>
      <c r="B909" s="1463"/>
      <c r="C909" s="1463"/>
      <c r="D909" s="1463"/>
      <c r="E909" s="1463"/>
      <c r="F909" s="1463"/>
      <c r="G909" s="1463"/>
      <c r="H909" s="1463"/>
      <c r="I909" s="1463"/>
      <c r="J909" s="1463"/>
      <c r="K909" s="1463"/>
      <c r="L909" s="1463"/>
      <c r="M909" s="1463"/>
      <c r="N909" s="1463"/>
      <c r="O909" s="1463"/>
      <c r="P909" s="1463"/>
      <c r="Q909" s="1463"/>
      <c r="R909" s="1463"/>
      <c r="S909" s="1463"/>
      <c r="T909" s="1463"/>
      <c r="U909" s="1463"/>
      <c r="V909" s="1463"/>
      <c r="W909" s="1463"/>
      <c r="X909" s="1463"/>
      <c r="Y909" s="1463"/>
      <c r="Z909" s="1463"/>
      <c r="AA909" s="1463"/>
      <c r="AB909" s="1463"/>
      <c r="AC909" s="1463"/>
      <c r="AD909" s="1463"/>
      <c r="AE909" s="1463"/>
      <c r="AF909" s="1463"/>
      <c r="AG909" s="1463"/>
      <c r="AH909" s="1463"/>
      <c r="AI909" s="1463"/>
      <c r="AJ909" s="1463"/>
      <c r="AK909" s="1463"/>
      <c r="AL909" s="1463"/>
      <c r="AM909" s="1463"/>
      <c r="AN909" s="1463"/>
      <c r="AO909" s="1463"/>
      <c r="AP909" s="1463"/>
      <c r="AQ909" s="1463"/>
      <c r="AR909" s="1463"/>
      <c r="AS909" s="1463"/>
      <c r="AT909" s="1463"/>
      <c r="AZ909" s="34"/>
      <c r="BA909" s="34"/>
      <c r="BB909" s="30"/>
      <c r="BC909" s="30"/>
      <c r="BD909" s="1740"/>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3"/>
      <c r="B910" s="1463"/>
      <c r="C910" s="1463"/>
      <c r="D910" s="1463"/>
      <c r="E910" s="1463"/>
      <c r="F910" s="1463"/>
      <c r="G910" s="1463"/>
      <c r="H910" s="1463"/>
      <c r="I910" s="1463"/>
      <c r="J910" s="1463"/>
      <c r="K910" s="1463"/>
      <c r="L910" s="1463"/>
      <c r="M910" s="1463"/>
      <c r="N910" s="1463"/>
      <c r="O910" s="1463"/>
      <c r="P910" s="1463"/>
      <c r="Q910" s="1463"/>
      <c r="R910" s="1463"/>
      <c r="S910" s="1463"/>
      <c r="T910" s="1463"/>
      <c r="U910" s="1463"/>
      <c r="V910" s="1463"/>
      <c r="W910" s="1463"/>
      <c r="X910" s="1463"/>
      <c r="Y910" s="1463"/>
      <c r="Z910" s="1463"/>
      <c r="AA910" s="1463"/>
      <c r="AB910" s="1463"/>
      <c r="AC910" s="1463"/>
      <c r="AD910" s="1463"/>
      <c r="AE910" s="1463"/>
      <c r="AF910" s="1463"/>
      <c r="AG910" s="1463"/>
      <c r="AH910" s="1463"/>
      <c r="AI910" s="1463"/>
      <c r="AJ910" s="1463"/>
      <c r="AK910" s="1463"/>
      <c r="AL910" s="1463"/>
      <c r="AM910" s="1463"/>
      <c r="AN910" s="1463"/>
      <c r="AO910" s="1463"/>
      <c r="AP910" s="1463"/>
      <c r="AQ910" s="1463"/>
      <c r="AR910" s="1463"/>
      <c r="AS910" s="1463"/>
      <c r="AT910" s="14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1" t="s">
        <v>802</v>
      </c>
      <c r="G914" s="1542"/>
      <c r="H914" s="1542"/>
      <c r="I914" s="1542"/>
      <c r="J914" s="1542"/>
      <c r="K914" s="1542"/>
      <c r="L914" s="1542"/>
      <c r="M914" s="1542"/>
      <c r="N914" s="1542"/>
      <c r="O914" s="1542"/>
      <c r="P914" s="1542"/>
      <c r="Q914" s="1542"/>
      <c r="R914" s="1542"/>
      <c r="S914" s="1542"/>
      <c r="T914" s="1543"/>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2" t="s">
        <v>828</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3" t="s">
        <v>554</v>
      </c>
      <c r="V917" s="1434"/>
      <c r="W917" s="1434"/>
      <c r="X917" s="1434"/>
      <c r="Y917" s="1434"/>
      <c r="Z917" s="1435"/>
      <c r="AA917" s="1436">
        <f>AM554</f>
        <v>39987612.11214298</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3" t="s">
        <v>554</v>
      </c>
      <c r="V918" s="1434"/>
      <c r="W918" s="1434"/>
      <c r="X918" s="1434"/>
      <c r="Y918" s="1434"/>
      <c r="Z918" s="1435"/>
      <c r="AA918" s="1436">
        <f>AM555</f>
        <v>20199225.572605595</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3" t="s">
        <v>600</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8" t="s">
        <v>2558</v>
      </c>
      <c r="G925" s="1589"/>
      <c r="H925" s="1589"/>
      <c r="I925" s="1589"/>
      <c r="J925" s="1589"/>
      <c r="K925" s="1589"/>
      <c r="L925" s="1589"/>
      <c r="M925" s="1589"/>
      <c r="N925" s="1589"/>
      <c r="O925" s="1589"/>
      <c r="P925" s="1589"/>
      <c r="Q925" s="1589"/>
      <c r="R925" s="1589"/>
      <c r="S925" s="1589"/>
      <c r="T925" s="1590"/>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8" t="s">
        <v>688</v>
      </c>
      <c r="G926" s="1589"/>
      <c r="H926" s="1589"/>
      <c r="I926" s="1589"/>
      <c r="J926" s="1589"/>
      <c r="K926" s="1589"/>
      <c r="L926" s="1589"/>
      <c r="M926" s="1589"/>
      <c r="N926" s="1589"/>
      <c r="O926" s="1589"/>
      <c r="P926" s="1589"/>
      <c r="Q926" s="1589"/>
      <c r="R926" s="1589"/>
      <c r="S926" s="1589"/>
      <c r="T926" s="1590"/>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8" t="s">
        <v>2559</v>
      </c>
      <c r="G927" s="1589"/>
      <c r="H927" s="1589"/>
      <c r="I927" s="1589"/>
      <c r="J927" s="1589"/>
      <c r="K927" s="1589"/>
      <c r="L927" s="1589"/>
      <c r="M927" s="1589"/>
      <c r="N927" s="1589"/>
      <c r="O927" s="1589"/>
      <c r="P927" s="1589"/>
      <c r="Q927" s="1589"/>
      <c r="R927" s="1589"/>
      <c r="S927" s="1589"/>
      <c r="T927" s="1590"/>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8" t="s">
        <v>2560</v>
      </c>
      <c r="G928" s="1589"/>
      <c r="H928" s="1589"/>
      <c r="I928" s="1589"/>
      <c r="J928" s="1589"/>
      <c r="K928" s="1589"/>
      <c r="L928" s="1589"/>
      <c r="M928" s="1589"/>
      <c r="N928" s="1589"/>
      <c r="O928" s="1589"/>
      <c r="P928" s="1589"/>
      <c r="Q928" s="1589"/>
      <c r="R928" s="1589"/>
      <c r="S928" s="1589"/>
      <c r="T928" s="1590"/>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8" t="s">
        <v>2561</v>
      </c>
      <c r="G929" s="1589"/>
      <c r="H929" s="1589"/>
      <c r="I929" s="1589"/>
      <c r="J929" s="1589"/>
      <c r="K929" s="1589"/>
      <c r="L929" s="1589"/>
      <c r="M929" s="1589"/>
      <c r="N929" s="1589"/>
      <c r="O929" s="1589"/>
      <c r="P929" s="1589"/>
      <c r="Q929" s="1589"/>
      <c r="R929" s="1589"/>
      <c r="S929" s="1589"/>
      <c r="T929" s="1590"/>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8" t="s">
        <v>2562</v>
      </c>
      <c r="G930" s="1589"/>
      <c r="H930" s="1589"/>
      <c r="I930" s="1589"/>
      <c r="J930" s="1589"/>
      <c r="K930" s="1589"/>
      <c r="L930" s="1589"/>
      <c r="M930" s="1589"/>
      <c r="N930" s="1589"/>
      <c r="O930" s="1589"/>
      <c r="P930" s="1589"/>
      <c r="Q930" s="1589"/>
      <c r="R930" s="1589"/>
      <c r="S930" s="1589"/>
      <c r="T930" s="1590"/>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8" t="s">
        <v>2563</v>
      </c>
      <c r="G931" s="1589"/>
      <c r="H931" s="1589"/>
      <c r="I931" s="1589"/>
      <c r="J931" s="1589"/>
      <c r="K931" s="1589"/>
      <c r="L931" s="1589"/>
      <c r="M931" s="1589"/>
      <c r="N931" s="1589"/>
      <c r="O931" s="1589"/>
      <c r="P931" s="1589"/>
      <c r="Q931" s="1589"/>
      <c r="R931" s="1589"/>
      <c r="S931" s="1589"/>
      <c r="T931" s="1590"/>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5" t="s">
        <v>2567</v>
      </c>
      <c r="G935" s="1596"/>
      <c r="H935" s="1596"/>
      <c r="I935" s="1596"/>
      <c r="J935" s="1596"/>
      <c r="K935" s="1596"/>
      <c r="L935" s="1596"/>
      <c r="M935" s="1596"/>
      <c r="N935" s="1596"/>
      <c r="O935" s="1596"/>
      <c r="P935" s="1596"/>
      <c r="Q935" s="1596"/>
      <c r="R935" s="1596"/>
      <c r="S935" s="1596"/>
      <c r="T935" s="1597"/>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5" t="s">
        <v>2568</v>
      </c>
      <c r="G936" s="1596"/>
      <c r="H936" s="1596"/>
      <c r="I936" s="1596"/>
      <c r="J936" s="1596"/>
      <c r="K936" s="1596"/>
      <c r="L936" s="1596"/>
      <c r="M936" s="1596"/>
      <c r="N936" s="1596"/>
      <c r="O936" s="1596"/>
      <c r="P936" s="1596"/>
      <c r="Q936" s="1596"/>
      <c r="R936" s="1596"/>
      <c r="S936" s="1596"/>
      <c r="T936" s="1597"/>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8" t="s">
        <v>2564</v>
      </c>
      <c r="G937" s="1589"/>
      <c r="H937" s="1589"/>
      <c r="I937" s="1589"/>
      <c r="J937" s="1589"/>
      <c r="K937" s="1589"/>
      <c r="L937" s="1589"/>
      <c r="M937" s="1589"/>
      <c r="N937" s="1589"/>
      <c r="O937" s="1589"/>
      <c r="P937" s="1589"/>
      <c r="Q937" s="1589"/>
      <c r="R937" s="1589"/>
      <c r="S937" s="1589"/>
      <c r="T937" s="1590"/>
      <c r="U937" s="1433" t="s">
        <v>554</v>
      </c>
      <c r="V937" s="1434"/>
      <c r="W937" s="1434"/>
      <c r="X937" s="1434"/>
      <c r="Y937" s="1434"/>
      <c r="Z937" s="1435"/>
      <c r="AA937" s="1436">
        <v>19142450</v>
      </c>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8" t="s">
        <v>2565</v>
      </c>
      <c r="G938" s="1589"/>
      <c r="H938" s="1589"/>
      <c r="I938" s="1589"/>
      <c r="J938" s="1589"/>
      <c r="K938" s="1589"/>
      <c r="L938" s="1589"/>
      <c r="M938" s="1589"/>
      <c r="N938" s="1589"/>
      <c r="O938" s="1589"/>
      <c r="P938" s="1589"/>
      <c r="Q938" s="1589"/>
      <c r="R938" s="1589"/>
      <c r="S938" s="1589"/>
      <c r="T938" s="1590"/>
      <c r="U938" s="1433" t="s">
        <v>600</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8" t="s">
        <v>2566</v>
      </c>
      <c r="G939" s="1589"/>
      <c r="H939" s="1589"/>
      <c r="I939" s="1589"/>
      <c r="J939" s="1589"/>
      <c r="K939" s="1589"/>
      <c r="L939" s="1589"/>
      <c r="M939" s="1589"/>
      <c r="N939" s="1589"/>
      <c r="O939" s="1589"/>
      <c r="P939" s="1589"/>
      <c r="Q939" s="1589"/>
      <c r="R939" s="1589"/>
      <c r="S939" s="1589"/>
      <c r="T939" s="1590"/>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5" t="s">
        <v>2569</v>
      </c>
      <c r="G941" s="1596"/>
      <c r="H941" s="1596"/>
      <c r="I941" s="1596"/>
      <c r="J941" s="1596"/>
      <c r="K941" s="1596"/>
      <c r="L941" s="1596"/>
      <c r="M941" s="1596"/>
      <c r="N941" s="1596"/>
      <c r="O941" s="1596"/>
      <c r="P941" s="1596"/>
      <c r="Q941" s="1596"/>
      <c r="R941" s="1596"/>
      <c r="S941" s="1596"/>
      <c r="T941" s="1597"/>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5" t="s">
        <v>2570</v>
      </c>
      <c r="G943" s="1596"/>
      <c r="H943" s="1596"/>
      <c r="I943" s="1596"/>
      <c r="J943" s="1596"/>
      <c r="K943" s="1596"/>
      <c r="L943" s="1596"/>
      <c r="M943" s="1596"/>
      <c r="N943" s="1596"/>
      <c r="O943" s="1596"/>
      <c r="P943" s="1596"/>
      <c r="Q943" s="1596"/>
      <c r="R943" s="1596"/>
      <c r="S943" s="1596"/>
      <c r="T943" s="1597"/>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8" t="s">
        <v>2557</v>
      </c>
      <c r="G945" s="1589"/>
      <c r="H945" s="1590"/>
      <c r="I945" s="1573" t="s">
        <v>2764</v>
      </c>
      <c r="J945" s="1574"/>
      <c r="K945" s="1574"/>
      <c r="L945" s="1574"/>
      <c r="M945" s="1574"/>
      <c r="N945" s="1574"/>
      <c r="O945" s="1574"/>
      <c r="P945" s="1574"/>
      <c r="Q945" s="1574"/>
      <c r="R945" s="1574"/>
      <c r="S945" s="1574"/>
      <c r="T945" s="1575"/>
      <c r="U945" s="1433" t="s">
        <v>554</v>
      </c>
      <c r="V945" s="1434"/>
      <c r="W945" s="1434"/>
      <c r="X945" s="1434"/>
      <c r="Y945" s="1434"/>
      <c r="Z945" s="1435"/>
      <c r="AA945" s="1436">
        <v>6612672</v>
      </c>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3" t="s">
        <v>335</v>
      </c>
      <c r="J946" s="1574"/>
      <c r="K946" s="1574"/>
      <c r="L946" s="1574"/>
      <c r="M946" s="1574"/>
      <c r="N946" s="1574"/>
      <c r="O946" s="1574"/>
      <c r="P946" s="1574"/>
      <c r="Q946" s="1574"/>
      <c r="R946" s="1574"/>
      <c r="S946" s="1574"/>
      <c r="T946" s="1575"/>
      <c r="U946" s="1433" t="s">
        <v>600</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4" t="s">
        <v>335</v>
      </c>
      <c r="J947" s="1545"/>
      <c r="K947" s="1545"/>
      <c r="L947" s="1545"/>
      <c r="M947" s="1545"/>
      <c r="N947" s="1545"/>
      <c r="O947" s="1545"/>
      <c r="P947" s="1545"/>
      <c r="Q947" s="1545"/>
      <c r="R947" s="1545"/>
      <c r="S947" s="1545"/>
      <c r="T947" s="1546"/>
      <c r="U947" s="1433" t="s">
        <v>600</v>
      </c>
      <c r="V947" s="1434"/>
      <c r="W947" s="1434"/>
      <c r="X947" s="1434"/>
      <c r="Y947" s="1434"/>
      <c r="Z947" s="1435"/>
      <c r="AA947" s="1436"/>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4" t="s">
        <v>335</v>
      </c>
      <c r="J948" s="1545"/>
      <c r="K948" s="1545"/>
      <c r="L948" s="1545"/>
      <c r="M948" s="1545"/>
      <c r="N948" s="1545"/>
      <c r="O948" s="1545"/>
      <c r="P948" s="1545"/>
      <c r="Q948" s="1545"/>
      <c r="R948" s="1545"/>
      <c r="S948" s="1545"/>
      <c r="T948" s="1546"/>
      <c r="U948" s="1433" t="s">
        <v>600</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4" t="s">
        <v>335</v>
      </c>
      <c r="J949" s="1545"/>
      <c r="K949" s="1545"/>
      <c r="L949" s="1545"/>
      <c r="M949" s="1545"/>
      <c r="N949" s="1545"/>
      <c r="O949" s="1545"/>
      <c r="P949" s="1545"/>
      <c r="Q949" s="1545"/>
      <c r="R949" s="1545"/>
      <c r="S949" s="1545"/>
      <c r="T949" s="1546"/>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44699</v>
      </c>
      <c r="N954" s="1681"/>
      <c r="O954" s="1681"/>
      <c r="P954" s="1681"/>
      <c r="Q954" s="1681"/>
      <c r="R954" s="1681"/>
      <c r="S954" s="1726"/>
      <c r="U954" s="66" t="s">
        <v>11</v>
      </c>
      <c r="V954" s="5"/>
      <c r="W954" s="5"/>
      <c r="X954" s="5"/>
      <c r="Y954" s="5"/>
      <c r="Z954" s="5"/>
      <c r="AA954" s="5"/>
      <c r="AB954" s="5"/>
      <c r="AC954" s="5"/>
      <c r="AD954" s="46"/>
      <c r="AE954" s="1725"/>
      <c r="AF954" s="1681"/>
      <c r="AG954" s="1681"/>
      <c r="AH954" s="1681"/>
      <c r="AI954" s="1681"/>
      <c r="AJ954" s="1681"/>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0" t="s">
        <v>2765</v>
      </c>
      <c r="N955" s="1551"/>
      <c r="O955" s="1551"/>
      <c r="P955" s="1551"/>
      <c r="Q955" s="1551"/>
      <c r="R955" s="1551"/>
      <c r="S955" s="1552"/>
      <c r="U955" s="66" t="s">
        <v>12</v>
      </c>
      <c r="V955" s="5"/>
      <c r="W955" s="5"/>
      <c r="X955" s="5"/>
      <c r="Y955" s="5"/>
      <c r="Z955" s="5"/>
      <c r="AA955" s="5"/>
      <c r="AB955" s="5"/>
      <c r="AC955" s="5"/>
      <c r="AD955" s="46"/>
      <c r="AE955" s="1550"/>
      <c r="AF955" s="1551"/>
      <c r="AG955" s="1551"/>
      <c r="AH955" s="1551"/>
      <c r="AI955" s="1551"/>
      <c r="AJ955" s="1551"/>
      <c r="AK955" s="15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3" t="s">
        <v>2766</v>
      </c>
      <c r="K956" s="1554"/>
      <c r="L956" s="1554"/>
      <c r="M956" s="1554"/>
      <c r="N956" s="1554"/>
      <c r="O956" s="1554"/>
      <c r="P956" s="1554"/>
      <c r="Q956" s="1554"/>
      <c r="R956" s="1554"/>
      <c r="S956" s="1555"/>
      <c r="U956" s="66" t="s">
        <v>893</v>
      </c>
      <c r="V956" s="5"/>
      <c r="W956" s="5"/>
      <c r="AB956" s="1553" t="s">
        <v>308</v>
      </c>
      <c r="AC956" s="1554"/>
      <c r="AD956" s="1554"/>
      <c r="AE956" s="1554"/>
      <c r="AF956" s="1554"/>
      <c r="AG956" s="1554"/>
      <c r="AH956" s="1554"/>
      <c r="AI956" s="1554"/>
      <c r="AJ956" s="1554"/>
      <c r="AK956" s="15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0.25</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25</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f>Z809</f>
        <v>515448</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f>M959*M961</f>
        <v>10308960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8">
        <v>20</v>
      </c>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8"/>
      <c r="N966" s="1539"/>
      <c r="O966" s="1539"/>
      <c r="P966" s="1539"/>
      <c r="Q966" s="1539"/>
      <c r="R966" s="1539"/>
      <c r="S966" s="1540"/>
      <c r="T966" s="66" t="s">
        <v>800</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8"/>
      <c r="N967" s="1539"/>
      <c r="O967" s="1539"/>
      <c r="P967" s="1539"/>
      <c r="Q967" s="1539"/>
      <c r="R967" s="1539"/>
      <c r="S967" s="1540"/>
      <c r="T967" s="66" t="s">
        <v>799</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5" t="s">
        <v>600</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9" t="s">
        <v>308</v>
      </c>
      <c r="N971" s="1660"/>
      <c r="O971" s="1660"/>
      <c r="P971" s="1660"/>
      <c r="Q971" s="1660"/>
      <c r="R971" s="1660"/>
      <c r="S971" s="1661"/>
      <c r="T971" s="1570"/>
      <c r="U971" s="1571"/>
      <c r="V971" s="1571"/>
      <c r="W971" s="1571"/>
      <c r="X971" s="1571"/>
      <c r="Y971" s="1571"/>
      <c r="Z971" s="1572"/>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8"/>
      <c r="N972" s="1539"/>
      <c r="O972" s="1539"/>
      <c r="P972" s="1539"/>
      <c r="Q972" s="1539"/>
      <c r="R972" s="1539"/>
      <c r="S972" s="1540"/>
      <c r="T972" s="1570"/>
      <c r="U972" s="1571"/>
      <c r="V972" s="1571"/>
      <c r="W972" s="1571"/>
      <c r="X972" s="1571"/>
      <c r="Y972" s="1571"/>
      <c r="Z972" s="1572"/>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9" t="s">
        <v>678</v>
      </c>
      <c r="P973" s="1700"/>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3" t="s">
        <v>557</v>
      </c>
      <c r="B978" s="1463"/>
      <c r="C978" s="1463"/>
      <c r="D978" s="1463"/>
      <c r="E978" s="1463"/>
      <c r="F978" s="1463"/>
      <c r="G978" s="1463"/>
      <c r="H978" s="1463"/>
      <c r="I978" s="1463"/>
      <c r="J978" s="1463"/>
      <c r="K978" s="1463"/>
      <c r="L978" s="1463"/>
      <c r="M978" s="1463"/>
      <c r="N978" s="1463"/>
      <c r="O978" s="1463"/>
      <c r="P978" s="1463"/>
      <c r="Q978" s="1463"/>
      <c r="R978" s="1463"/>
      <c r="S978" s="1463"/>
      <c r="T978" s="1463"/>
      <c r="U978" s="1463"/>
      <c r="V978" s="1463"/>
      <c r="W978" s="1463"/>
      <c r="X978" s="1463"/>
      <c r="Y978" s="1463"/>
      <c r="Z978" s="1463"/>
      <c r="AA978" s="1463"/>
      <c r="AB978" s="1463"/>
      <c r="AC978" s="1463"/>
      <c r="AD978" s="1463"/>
      <c r="AE978" s="1463"/>
      <c r="AF978" s="1463"/>
      <c r="AG978" s="1463"/>
      <c r="AH978" s="1463"/>
      <c r="AI978" s="1463"/>
      <c r="AJ978" s="1463"/>
      <c r="AK978" s="1463"/>
      <c r="AL978" s="1463"/>
      <c r="AM978" s="1463"/>
      <c r="AN978" s="1463"/>
      <c r="AO978" s="1463"/>
      <c r="AP978" s="1463"/>
      <c r="AQ978" s="1463"/>
      <c r="AR978" s="1463"/>
      <c r="AS978" s="1463"/>
      <c r="AT978" s="14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3"/>
      <c r="B979" s="1463"/>
      <c r="C979" s="1463"/>
      <c r="D979" s="1463"/>
      <c r="E979" s="1463"/>
      <c r="F979" s="1463"/>
      <c r="G979" s="1463"/>
      <c r="H979" s="1463"/>
      <c r="I979" s="1463"/>
      <c r="J979" s="1463"/>
      <c r="K979" s="1463"/>
      <c r="L979" s="1463"/>
      <c r="M979" s="1463"/>
      <c r="N979" s="1463"/>
      <c r="O979" s="1463"/>
      <c r="P979" s="1463"/>
      <c r="Q979" s="1463"/>
      <c r="R979" s="1463"/>
      <c r="S979" s="1463"/>
      <c r="T979" s="1463"/>
      <c r="U979" s="1463"/>
      <c r="V979" s="1463"/>
      <c r="W979" s="1463"/>
      <c r="X979" s="1463"/>
      <c r="Y979" s="1463"/>
      <c r="Z979" s="1463"/>
      <c r="AA979" s="1463"/>
      <c r="AB979" s="1463"/>
      <c r="AC979" s="1463"/>
      <c r="AD979" s="1463"/>
      <c r="AE979" s="1463"/>
      <c r="AF979" s="1463"/>
      <c r="AG979" s="1463"/>
      <c r="AH979" s="1463"/>
      <c r="AI979" s="1463"/>
      <c r="AJ979" s="1463"/>
      <c r="AK979" s="1463"/>
      <c r="AL979" s="1463"/>
      <c r="AM979" s="1463"/>
      <c r="AN979" s="1463"/>
      <c r="AO979" s="1463"/>
      <c r="AP979" s="1463"/>
      <c r="AQ979" s="1463"/>
      <c r="AR979" s="1463"/>
      <c r="AS979" s="1463"/>
      <c r="AT979" s="14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3"/>
      <c r="B980" s="1463"/>
      <c r="C980" s="1463"/>
      <c r="D980" s="1463"/>
      <c r="E980" s="1463"/>
      <c r="F980" s="1463"/>
      <c r="G980" s="1463"/>
      <c r="H980" s="1463"/>
      <c r="I980" s="1463"/>
      <c r="J980" s="1463"/>
      <c r="K980" s="1463"/>
      <c r="L980" s="1463"/>
      <c r="M980" s="1463"/>
      <c r="N980" s="1463"/>
      <c r="O980" s="1463"/>
      <c r="P980" s="1463"/>
      <c r="Q980" s="1463"/>
      <c r="R980" s="1463"/>
      <c r="S980" s="1463"/>
      <c r="T980" s="1463"/>
      <c r="U980" s="1463"/>
      <c r="V980" s="1463"/>
      <c r="W980" s="1463"/>
      <c r="X980" s="1463"/>
      <c r="Y980" s="1463"/>
      <c r="Z980" s="1463"/>
      <c r="AA980" s="1463"/>
      <c r="AB980" s="1463"/>
      <c r="AC980" s="1463"/>
      <c r="AD980" s="1463"/>
      <c r="AE980" s="1463"/>
      <c r="AF980" s="1463"/>
      <c r="AG980" s="1463"/>
      <c r="AH980" s="1463"/>
      <c r="AI980" s="1463"/>
      <c r="AJ980" s="1463"/>
      <c r="AK980" s="1463"/>
      <c r="AL980" s="1463"/>
      <c r="AM980" s="1463"/>
      <c r="AN980" s="1463"/>
      <c r="AO980" s="1463"/>
      <c r="AP980" s="1463"/>
      <c r="AQ980" s="1463"/>
      <c r="AR980" s="1463"/>
      <c r="AS980" s="1463"/>
      <c r="AT980" s="14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7" t="s">
        <v>647</v>
      </c>
      <c r="E984" s="1548"/>
      <c r="F984" s="1548"/>
      <c r="G984" s="1548"/>
      <c r="H984" s="1548"/>
      <c r="I984" s="1548"/>
      <c r="J984" s="1548"/>
      <c r="K984" s="1548"/>
      <c r="L984" s="1548"/>
      <c r="M984" s="1548"/>
      <c r="N984" s="1548"/>
      <c r="O984" s="1548"/>
      <c r="P984" s="1548"/>
      <c r="Q984" s="1549"/>
      <c r="R984" s="1547" t="s">
        <v>648</v>
      </c>
      <c r="S984" s="1548"/>
      <c r="T984" s="1548"/>
      <c r="U984" s="1548"/>
      <c r="V984" s="1548"/>
      <c r="W984" s="1548"/>
      <c r="X984" s="1548"/>
      <c r="Y984" s="1548"/>
      <c r="Z984" s="1548"/>
      <c r="AA984" s="1549"/>
      <c r="AB984" s="1547" t="s">
        <v>649</v>
      </c>
      <c r="AC984" s="1548"/>
      <c r="AD984" s="1548"/>
      <c r="AE984" s="1548"/>
      <c r="AF984" s="1548"/>
      <c r="AG984" s="1548"/>
      <c r="AH984" s="1548"/>
      <c r="AI984" s="1549"/>
      <c r="AJ984" s="1547" t="s">
        <v>650</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642</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314634</v>
      </c>
      <c r="S985" s="1594"/>
      <c r="T985" s="1594"/>
      <c r="U985" s="1594"/>
      <c r="V985" s="1594"/>
      <c r="W985" s="1594"/>
      <c r="X985" s="1594"/>
      <c r="Y985" s="1594"/>
      <c r="Z985" s="1594"/>
      <c r="AA985" s="1594"/>
      <c r="AB985" s="1425">
        <f>BN660</f>
        <v>0</v>
      </c>
      <c r="AC985" s="1426"/>
      <c r="AD985" s="1426"/>
      <c r="AE985" s="1426"/>
      <c r="AF985" s="1426"/>
      <c r="AG985" s="1426"/>
      <c r="AH985" s="1426"/>
      <c r="AI985" s="1427"/>
      <c r="AJ985" s="1512">
        <f>IF(ISERROR((R985*AB985)),0,(R985*AB985))</f>
        <v>0</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362770</v>
      </c>
      <c r="S986" s="1594"/>
      <c r="T986" s="1594"/>
      <c r="U986" s="1594"/>
      <c r="V986" s="1594"/>
      <c r="W986" s="1594"/>
      <c r="X986" s="1594"/>
      <c r="Y986" s="1594"/>
      <c r="Z986" s="1594"/>
      <c r="AA986" s="1594"/>
      <c r="AB986" s="1425">
        <f>BS660</f>
        <v>31</v>
      </c>
      <c r="AC986" s="1426"/>
      <c r="AD986" s="1426"/>
      <c r="AE986" s="1426"/>
      <c r="AF986" s="1426"/>
      <c r="AG986" s="1426"/>
      <c r="AH986" s="1426"/>
      <c r="AI986" s="1427"/>
      <c r="AJ986" s="1512">
        <f>IF(ISERROR((R986*AB986)),0,(R986*AB986))</f>
        <v>11245870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437600</v>
      </c>
      <c r="S987" s="1594"/>
      <c r="T987" s="1594"/>
      <c r="U987" s="1594"/>
      <c r="V987" s="1594"/>
      <c r="W987" s="1594"/>
      <c r="X987" s="1594"/>
      <c r="Y987" s="1594"/>
      <c r="Z987" s="1594"/>
      <c r="AA987" s="1594"/>
      <c r="AB987" s="1425">
        <f>BX660</f>
        <v>34</v>
      </c>
      <c r="AC987" s="1426"/>
      <c r="AD987" s="1426"/>
      <c r="AE987" s="1426"/>
      <c r="AF987" s="1426"/>
      <c r="AG987" s="1426"/>
      <c r="AH987" s="1426"/>
      <c r="AI987" s="1427"/>
      <c r="AJ987" s="1512">
        <f>IF(ISERROR((R987*AB987)),0,(R987*AB987))</f>
        <v>14878400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560128</v>
      </c>
      <c r="S988" s="1594"/>
      <c r="T988" s="1594"/>
      <c r="U988" s="1594"/>
      <c r="V988" s="1594"/>
      <c r="W988" s="1594"/>
      <c r="X988" s="1594"/>
      <c r="Y988" s="1594"/>
      <c r="Z988" s="1594"/>
      <c r="AA988" s="1594"/>
      <c r="AB988" s="1425">
        <f>CC660</f>
        <v>27</v>
      </c>
      <c r="AC988" s="1426"/>
      <c r="AD988" s="1426"/>
      <c r="AE988" s="1426"/>
      <c r="AF988" s="1426"/>
      <c r="AG988" s="1426"/>
      <c r="AH988" s="1426"/>
      <c r="AI988" s="1427"/>
      <c r="AJ988" s="1512">
        <f>IF(ISERROR((R988*AB988)),0,(R988*AB988))</f>
        <v>15123456</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469</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624018</v>
      </c>
      <c r="S989" s="1594"/>
      <c r="T989" s="1594"/>
      <c r="U989" s="1594"/>
      <c r="V989" s="1594"/>
      <c r="W989" s="1594"/>
      <c r="X989" s="1594"/>
      <c r="Y989" s="1594"/>
      <c r="Z989" s="1594"/>
      <c r="AA989" s="1594"/>
      <c r="AB989" s="1425">
        <f>CM660+CH660</f>
        <v>8</v>
      </c>
      <c r="AC989" s="1426"/>
      <c r="AD989" s="1426"/>
      <c r="AE989" s="1426"/>
      <c r="AF989" s="1426"/>
      <c r="AG989" s="1426"/>
      <c r="AH989" s="1426"/>
      <c r="AI989" s="1427"/>
      <c r="AJ989" s="1512">
        <f>IF(ISERROR((R989*AB989)),0,(R989*AB989))</f>
        <v>4992144</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5" t="s">
        <v>801</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100</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1" t="s">
        <v>521</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2">
        <f>SUM(AJ985:AQ989)</f>
        <v>46239870</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675</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8" t="s">
        <v>1327</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554</v>
      </c>
      <c r="AH993" s="1525"/>
      <c r="AI993" s="87"/>
      <c r="AJ993" s="1556">
        <f>ROUND(IF(AND(AG993="yes",D999&gt;0),AJ991*0.2,0),0)</f>
        <v>9247974</v>
      </c>
      <c r="AK993" s="1557"/>
      <c r="AL993" s="1557"/>
      <c r="AM993" s="1557"/>
      <c r="AN993" s="1557"/>
      <c r="AO993" s="1557"/>
      <c r="AP993" s="1557"/>
      <c r="AQ993" s="155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6" t="s">
        <v>2571</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59"/>
      <c r="AK994" s="1560"/>
      <c r="AL994" s="1560"/>
      <c r="AM994" s="1560"/>
      <c r="AN994" s="1560"/>
      <c r="AO994" s="1560"/>
      <c r="AP994" s="1560"/>
      <c r="AQ994" s="156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59"/>
      <c r="AK995" s="1560"/>
      <c r="AL995" s="1560"/>
      <c r="AM995" s="1560"/>
      <c r="AN995" s="1560"/>
      <c r="AO995" s="1560"/>
      <c r="AP995" s="1560"/>
      <c r="AQ995" s="156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59"/>
      <c r="AK996" s="1560"/>
      <c r="AL996" s="1560"/>
      <c r="AM996" s="1560"/>
      <c r="AN996" s="1560"/>
      <c r="AO996" s="1560"/>
      <c r="AP996" s="1560"/>
      <c r="AQ996" s="156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59"/>
      <c r="AK997" s="1560"/>
      <c r="AL997" s="1560"/>
      <c r="AM997" s="1560"/>
      <c r="AN997" s="1560"/>
      <c r="AO997" s="1560"/>
      <c r="AP997" s="1560"/>
      <c r="AQ997" s="156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9" t="s">
        <v>2572</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59"/>
      <c r="AK998" s="1560"/>
      <c r="AL998" s="1560"/>
      <c r="AM998" s="1560"/>
      <c r="AN998" s="1560"/>
      <c r="AO998" s="1560"/>
      <c r="AP998" s="1560"/>
      <c r="AQ998" s="156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8" t="s">
        <v>2769</v>
      </c>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2"/>
      <c r="AK999" s="1563"/>
      <c r="AL999" s="1563"/>
      <c r="AM999" s="1563"/>
      <c r="AN999" s="1563"/>
      <c r="AO999" s="1563"/>
      <c r="AP999" s="1563"/>
      <c r="AQ999" s="156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8" t="s">
        <v>1397</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678</v>
      </c>
      <c r="AH1000" s="1527"/>
      <c r="AI1000" s="87"/>
      <c r="AJ1000" s="1556">
        <f>ROUND(IF(AG1000="yes",AJ991*0.05,0),0)</f>
        <v>0</v>
      </c>
      <c r="AK1000" s="1557"/>
      <c r="AL1000" s="1557"/>
      <c r="AM1000" s="1557"/>
      <c r="AN1000" s="1557"/>
      <c r="AO1000" s="1557"/>
      <c r="AP1000" s="1557"/>
      <c r="AQ1000" s="155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6" t="s">
        <v>1395</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59"/>
      <c r="AK1001" s="1560"/>
      <c r="AL1001" s="1560"/>
      <c r="AM1001" s="1560"/>
      <c r="AN1001" s="1560"/>
      <c r="AO1001" s="1560"/>
      <c r="AP1001" s="1560"/>
      <c r="AQ1001" s="156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59"/>
      <c r="AK1002" s="1560"/>
      <c r="AL1002" s="1560"/>
      <c r="AM1002" s="1560"/>
      <c r="AN1002" s="1560"/>
      <c r="AO1002" s="1560"/>
      <c r="AP1002" s="1560"/>
      <c r="AQ1002" s="1561"/>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59"/>
      <c r="AK1003" s="1560"/>
      <c r="AL1003" s="1560"/>
      <c r="AM1003" s="1560"/>
      <c r="AN1003" s="1560"/>
      <c r="AO1003" s="1560"/>
      <c r="AP1003" s="1560"/>
      <c r="AQ1003" s="156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59"/>
      <c r="AK1004" s="1560"/>
      <c r="AL1004" s="1560"/>
      <c r="AM1004" s="1560"/>
      <c r="AN1004" s="1560"/>
      <c r="AO1004" s="1560"/>
      <c r="AP1004" s="1560"/>
      <c r="AQ1004" s="1561"/>
      <c r="AR1004" s="68"/>
      <c r="AS1004" s="68"/>
      <c r="AT1004" s="68"/>
      <c r="AU1004" s="68"/>
      <c r="AV1004" s="68"/>
      <c r="AW1004" s="68"/>
      <c r="AX1004" s="68"/>
      <c r="AY1004" s="948">
        <f>ROUNDDOWN(X1047/I1047,2)</f>
        <v>0.72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2"/>
      <c r="AK1005" s="1563"/>
      <c r="AL1005" s="1563"/>
      <c r="AM1005" s="1563"/>
      <c r="AN1005" s="1563"/>
      <c r="AO1005" s="1563"/>
      <c r="AP1005" s="1563"/>
      <c r="AQ1005" s="1564"/>
      <c r="AR1005" s="68"/>
      <c r="AS1005" s="68"/>
      <c r="AT1005" s="68"/>
      <c r="AU1005" s="68"/>
      <c r="AV1005" s="68"/>
      <c r="AW1005" s="68"/>
      <c r="AX1005" s="68"/>
      <c r="AY1005" s="948">
        <f>ROUNDDOWN(X1051/I1051,2)</f>
        <v>0.23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8" t="s">
        <v>1874</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678</v>
      </c>
      <c r="AH1006" s="1527"/>
      <c r="AI1006" s="87"/>
      <c r="AJ1006" s="1556">
        <f>ROUND(IF(AG1006="yes",AJ991*0.1,0),0)</f>
        <v>0</v>
      </c>
      <c r="AK1006" s="1557"/>
      <c r="AL1006" s="1557"/>
      <c r="AM1006" s="1557"/>
      <c r="AN1006" s="1557"/>
      <c r="AO1006" s="1557"/>
      <c r="AP1006" s="1557"/>
      <c r="AQ1006" s="1558"/>
      <c r="AR1006" s="68"/>
      <c r="AS1006" s="68"/>
      <c r="AT1006" s="68"/>
      <c r="AU1006" s="68"/>
      <c r="AV1006" s="68"/>
      <c r="AW1006" s="68"/>
      <c r="AX1006" s="68"/>
      <c r="BB1006" s="34"/>
      <c r="BD1006" s="34"/>
      <c r="BE1006" s="34"/>
      <c r="BF1006" s="34"/>
    </row>
    <row r="1007" spans="1:157" ht="12.95" customHeight="1">
      <c r="A1007" s="14"/>
      <c r="B1007" s="73"/>
      <c r="C1007" s="74"/>
      <c r="D1007" s="1506" t="s">
        <v>1396</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9"/>
      <c r="AK1007" s="1560"/>
      <c r="AL1007" s="1560"/>
      <c r="AM1007" s="1560"/>
      <c r="AN1007" s="1560"/>
      <c r="AO1007" s="1560"/>
      <c r="AP1007" s="1560"/>
      <c r="AQ1007" s="1561"/>
      <c r="AR1007" s="68"/>
      <c r="AS1007" s="68"/>
      <c r="AT1007" s="68"/>
      <c r="AU1007" s="68"/>
      <c r="AV1007" s="68"/>
      <c r="AW1007" s="68"/>
      <c r="AX1007" s="68"/>
    </row>
    <row r="1008" spans="1:157" ht="12.95"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9"/>
      <c r="AK1008" s="1560"/>
      <c r="AL1008" s="1560"/>
      <c r="AM1008" s="1560"/>
      <c r="AN1008" s="1560"/>
      <c r="AO1008" s="1560"/>
      <c r="AP1008" s="1560"/>
      <c r="AQ1008" s="1561"/>
      <c r="AR1008" s="68"/>
      <c r="AS1008" s="68"/>
      <c r="AT1008" s="68"/>
      <c r="AU1008" s="68"/>
      <c r="AV1008" s="68"/>
      <c r="AW1008" s="68"/>
      <c r="AX1008" s="68"/>
    </row>
    <row r="1009" spans="1:51" ht="12.95"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2"/>
      <c r="AK1009" s="1563"/>
      <c r="AL1009" s="1563"/>
      <c r="AM1009" s="1563"/>
      <c r="AN1009" s="1563"/>
      <c r="AO1009" s="1563"/>
      <c r="AP1009" s="1563"/>
      <c r="AQ1009" s="1564"/>
      <c r="AR1009" s="68"/>
      <c r="AS1009" s="68"/>
      <c r="AT1009" s="68"/>
      <c r="AU1009" s="68"/>
      <c r="AV1009" s="68"/>
      <c r="AW1009" s="68"/>
      <c r="AX1009" s="68"/>
    </row>
    <row r="1010" spans="1:51" ht="12.95" customHeight="1">
      <c r="A1010" s="14"/>
      <c r="B1010" s="79"/>
      <c r="C1010" s="80" t="s">
        <v>213</v>
      </c>
      <c r="D1010" s="1518" t="s">
        <v>1398</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554</v>
      </c>
      <c r="AH1010" s="1527"/>
      <c r="AI1010" s="87"/>
      <c r="AJ1010" s="1556">
        <f>ROUND(IF(AG1010="yes",AJ991*0.02,0),0)</f>
        <v>924797</v>
      </c>
      <c r="AK1010" s="1557"/>
      <c r="AL1010" s="1557"/>
      <c r="AM1010" s="1557"/>
      <c r="AN1010" s="1557"/>
      <c r="AO1010" s="1557"/>
      <c r="AP1010" s="1557"/>
      <c r="AQ1010" s="1558"/>
      <c r="AR1010" s="68"/>
      <c r="AS1010" s="68"/>
      <c r="AT1010" s="68"/>
      <c r="AU1010" s="68"/>
      <c r="AV1010" s="68"/>
      <c r="AW1010" s="68"/>
      <c r="AX1010" s="68"/>
      <c r="AY1010" s="215">
        <f>IF(SUM(AY1012:AY1020)&lt;=0.1,SUM(AY1012:AY1020),0.1)</f>
        <v>9.0000000000000011E-2</v>
      </c>
    </row>
    <row r="1011" spans="1:51" ht="14.25" customHeight="1">
      <c r="A1011" s="14"/>
      <c r="B1011" s="73"/>
      <c r="C1011" s="74"/>
      <c r="D1011" s="1531" t="s">
        <v>1399</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2"/>
      <c r="AK1011" s="1563"/>
      <c r="AL1011" s="1563"/>
      <c r="AM1011" s="1563"/>
      <c r="AN1011" s="1563"/>
      <c r="AO1011" s="1563"/>
      <c r="AP1011" s="1563"/>
      <c r="AQ1011" s="1564"/>
      <c r="AR1011" s="68"/>
      <c r="AS1011" s="68"/>
      <c r="AT1011" s="68"/>
      <c r="AU1011" s="68"/>
      <c r="AV1011" s="68"/>
      <c r="AW1011" s="68"/>
      <c r="AX1011" s="68"/>
    </row>
    <row r="1012" spans="1:51" ht="12.95" customHeight="1">
      <c r="A1012" s="14"/>
      <c r="B1012" s="79"/>
      <c r="C1012" s="80" t="s">
        <v>216</v>
      </c>
      <c r="D1012" s="1518" t="s">
        <v>1400</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678</v>
      </c>
      <c r="AH1012" s="1527"/>
      <c r="AI1012" s="79"/>
      <c r="AJ1012" s="1556">
        <f>ROUND(IF(AG1012="yes",AJ991*0.02,0),0)</f>
        <v>0</v>
      </c>
      <c r="AK1012" s="1557"/>
      <c r="AL1012" s="1557"/>
      <c r="AM1012" s="1557"/>
      <c r="AN1012" s="1557"/>
      <c r="AO1012" s="1557"/>
      <c r="AP1012" s="1557"/>
      <c r="AQ1012" s="1558"/>
      <c r="AR1012" s="68"/>
      <c r="AS1012" s="68"/>
      <c r="AT1012" s="68"/>
      <c r="AU1012" s="68"/>
      <c r="AV1012" s="68"/>
      <c r="AW1012" s="68"/>
      <c r="AX1012" s="68"/>
      <c r="AY1012" s="213">
        <f>IF(A1064="Yes",0.05,0)</f>
        <v>0.05</v>
      </c>
    </row>
    <row r="1013" spans="1:51" ht="12.95" customHeight="1">
      <c r="A1013" s="14"/>
      <c r="B1013" s="73"/>
      <c r="C1013" s="74"/>
      <c r="D1013" s="1506" t="s">
        <v>1401</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9"/>
      <c r="AK1013" s="1560"/>
      <c r="AL1013" s="1560"/>
      <c r="AM1013" s="1560"/>
      <c r="AN1013" s="1560"/>
      <c r="AO1013" s="1560"/>
      <c r="AP1013" s="1560"/>
      <c r="AQ1013" s="1561"/>
      <c r="AR1013" s="68"/>
      <c r="AS1013" s="68"/>
      <c r="AT1013" s="68"/>
      <c r="AU1013" s="68"/>
      <c r="AV1013" s="68"/>
      <c r="AW1013" s="68"/>
      <c r="AX1013" s="68"/>
      <c r="AY1013" s="213">
        <f>IF(A1070="Yes",0.02,0)</f>
        <v>0.02</v>
      </c>
    </row>
    <row r="1014" spans="1:51" ht="12.95"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2"/>
      <c r="AK1014" s="1563"/>
      <c r="AL1014" s="1563"/>
      <c r="AM1014" s="1563"/>
      <c r="AN1014" s="1563"/>
      <c r="AO1014" s="1563"/>
      <c r="AP1014" s="1563"/>
      <c r="AQ1014" s="1564"/>
      <c r="AR1014" s="68"/>
      <c r="AS1014" s="68"/>
      <c r="AT1014" s="68"/>
      <c r="AU1014" s="68"/>
      <c r="AV1014" s="68"/>
      <c r="AW1014" s="68"/>
      <c r="AX1014" s="68"/>
      <c r="AY1014" s="213">
        <f>IF(A1076="Yes",0.04,0)</f>
        <v>0</v>
      </c>
    </row>
    <row r="1015" spans="1:51" ht="12.95" customHeight="1">
      <c r="A1015" s="14"/>
      <c r="B1015" s="79"/>
      <c r="C1015" s="80" t="s">
        <v>219</v>
      </c>
      <c r="D1015" s="1528" t="s">
        <v>1402</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554</v>
      </c>
      <c r="AH1015" s="1527"/>
      <c r="AI1015" s="87"/>
      <c r="AJ1015" s="1556">
        <f>IF(AG1015="yes",AJ991*AY1010,0)</f>
        <v>4161588.3000000003</v>
      </c>
      <c r="AK1015" s="1557"/>
      <c r="AL1015" s="1557"/>
      <c r="AM1015" s="1557"/>
      <c r="AN1015" s="1557"/>
      <c r="AO1015" s="1557"/>
      <c r="AP1015" s="1557"/>
      <c r="AQ1015" s="1558"/>
      <c r="AR1015" s="68"/>
      <c r="AS1015" s="68"/>
      <c r="AT1015" s="68"/>
      <c r="AU1015" s="68"/>
      <c r="AV1015" s="68"/>
      <c r="AW1015" s="68"/>
      <c r="AX1015" s="68"/>
      <c r="AY1015" s="213">
        <f>IF(A1083="Yes",0.04,0)</f>
        <v>0</v>
      </c>
    </row>
    <row r="1016" spans="1:51" ht="12.95" customHeight="1">
      <c r="A1016" s="14"/>
      <c r="B1016" s="73"/>
      <c r="C1016" s="74"/>
      <c r="D1016" s="1506" t="s">
        <v>1403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9"/>
      <c r="AK1016" s="1560"/>
      <c r="AL1016" s="1560"/>
      <c r="AM1016" s="1560"/>
      <c r="AN1016" s="1560"/>
      <c r="AO1016" s="1560"/>
      <c r="AP1016" s="1560"/>
      <c r="AQ1016" s="1561"/>
      <c r="AR1016" s="68"/>
      <c r="AS1016" s="68"/>
      <c r="AT1016" s="68"/>
      <c r="AU1016" s="68"/>
      <c r="AV1016" s="68"/>
      <c r="AW1016" s="68"/>
      <c r="AX1016" s="68"/>
      <c r="AY1016" s="213">
        <f>IF(A1086="Yes",0.01,0)</f>
        <v>0</v>
      </c>
    </row>
    <row r="1017" spans="1:51" ht="12.95"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9"/>
      <c r="AK1017" s="1560"/>
      <c r="AL1017" s="1560"/>
      <c r="AM1017" s="1560"/>
      <c r="AN1017" s="1560"/>
      <c r="AO1017" s="1560"/>
      <c r="AP1017" s="1560"/>
      <c r="AQ1017" s="1561"/>
      <c r="AR1017" s="68"/>
      <c r="AS1017" s="68"/>
      <c r="AT1017" s="68"/>
      <c r="AU1017" s="68"/>
      <c r="AV1017" s="68"/>
      <c r="AW1017" s="68"/>
      <c r="AX1017" s="68"/>
      <c r="AY1017" s="213">
        <f>IF(A1091="Yes",0.01,0)</f>
        <v>0</v>
      </c>
    </row>
    <row r="1018" spans="1:51" ht="12.95"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2"/>
      <c r="AK1018" s="1563"/>
      <c r="AL1018" s="1563"/>
      <c r="AM1018" s="1563"/>
      <c r="AN1018" s="1563"/>
      <c r="AO1018" s="1563"/>
      <c r="AP1018" s="1563"/>
      <c r="AQ1018" s="1564"/>
      <c r="AR1018" s="68"/>
      <c r="AS1018" s="68"/>
      <c r="AT1018" s="68"/>
      <c r="AU1018" s="68"/>
      <c r="AV1018" s="68"/>
      <c r="AW1018" s="68"/>
      <c r="AX1018" s="68"/>
      <c r="AY1018" s="213">
        <f>IF(A1094="Yes",0.01,0)</f>
        <v>0</v>
      </c>
    </row>
    <row r="1019" spans="1:51" ht="12.95" customHeight="1">
      <c r="A1019" s="14"/>
      <c r="B1019" s="79"/>
      <c r="C1019" s="80" t="s">
        <v>224</v>
      </c>
      <c r="D1019" s="1606" t="s">
        <v>1404</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6" t="s">
        <v>678</v>
      </c>
      <c r="AH1019" s="1527"/>
      <c r="AI1019" s="87"/>
      <c r="AJ1019" s="1556">
        <f>ROUND(IF(AND(AG1019="Yes",J1023&lt;&gt;"N/A",AF1022&lt;&gt;""),MIN(AF1022,(0.15*AJ991)),0),0)</f>
        <v>0</v>
      </c>
      <c r="AK1019" s="1557"/>
      <c r="AL1019" s="1557"/>
      <c r="AM1019" s="1557"/>
      <c r="AN1019" s="1557"/>
      <c r="AO1019" s="1557"/>
      <c r="AP1019" s="1557"/>
      <c r="AQ1019" s="1558"/>
      <c r="AR1019" s="68"/>
      <c r="AS1019" s="68"/>
      <c r="AT1019" s="68"/>
      <c r="AU1019" s="68"/>
      <c r="AV1019" s="68"/>
      <c r="AW1019" s="68"/>
      <c r="AX1019" s="68"/>
      <c r="AY1019" s="213">
        <f>IF(A1098="Yes",0.02,0)</f>
        <v>0.02</v>
      </c>
    </row>
    <row r="1020" spans="1:51" ht="12.9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4" t="str">
        <f>IF(AG1019="yes","Please Select Type and Enter Amount:","")</f>
        <v/>
      </c>
      <c r="AG1020" s="1535"/>
      <c r="AH1020" s="1535"/>
      <c r="AI1020" s="1536"/>
      <c r="AJ1020" s="1559"/>
      <c r="AK1020" s="1560"/>
      <c r="AL1020" s="1560"/>
      <c r="AM1020" s="1560"/>
      <c r="AN1020" s="1560"/>
      <c r="AO1020" s="1560"/>
      <c r="AP1020" s="1560"/>
      <c r="AQ1020" s="1561"/>
      <c r="AR1020" s="68"/>
      <c r="AS1020" s="68"/>
      <c r="AT1020" s="68"/>
      <c r="AU1020" s="68"/>
      <c r="AV1020" s="68"/>
      <c r="AW1020" s="68"/>
      <c r="AX1020" s="68"/>
      <c r="AY1020" s="214">
        <f>IF(A1103="Yes",0.02,0)</f>
        <v>0</v>
      </c>
    </row>
    <row r="1021" spans="1:51" ht="12.95" customHeight="1">
      <c r="A1021" s="14"/>
      <c r="B1021" s="81"/>
      <c r="C1021" s="84"/>
      <c r="D1021" s="1506" t="s">
        <v>1405</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9"/>
      <c r="AK1021" s="1560"/>
      <c r="AL1021" s="1560"/>
      <c r="AM1021" s="1560"/>
      <c r="AN1021" s="1560"/>
      <c r="AO1021" s="1560"/>
      <c r="AP1021" s="1560"/>
      <c r="AQ1021" s="1561"/>
      <c r="AR1021" s="68"/>
      <c r="AS1021" s="68"/>
      <c r="AT1021" s="68"/>
      <c r="AU1021" s="68"/>
      <c r="AV1021" s="68"/>
      <c r="AW1021" s="68"/>
      <c r="AX1021" s="68"/>
      <c r="AY1021" s="68"/>
    </row>
    <row r="1022" spans="1:51" ht="12.95"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9"/>
      <c r="AK1022" s="1560"/>
      <c r="AL1022" s="1560"/>
      <c r="AM1022" s="1560"/>
      <c r="AN1022" s="1560"/>
      <c r="AO1022" s="1560"/>
      <c r="AP1022" s="1560"/>
      <c r="AQ1022" s="156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9" t="s">
        <v>600</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2"/>
      <c r="AK1023" s="1563"/>
      <c r="AL1023" s="1563"/>
      <c r="AM1023" s="1563"/>
      <c r="AN1023" s="1563"/>
      <c r="AO1023" s="1563"/>
      <c r="AP1023" s="1563"/>
      <c r="AQ1023" s="1564"/>
      <c r="AR1023" s="68"/>
      <c r="AS1023" s="68"/>
      <c r="AT1023" s="68"/>
      <c r="AU1023" s="68"/>
      <c r="AV1023" s="68"/>
      <c r="AW1023" s="68"/>
      <c r="AX1023" s="68"/>
      <c r="AY1023" s="68"/>
    </row>
    <row r="1024" spans="1:51" ht="12.95" customHeight="1">
      <c r="A1024" s="14"/>
      <c r="B1024" s="79"/>
      <c r="C1024" s="80" t="s">
        <v>230</v>
      </c>
      <c r="D1024" s="1518" t="s">
        <v>1406</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554</v>
      </c>
      <c r="AH1024" s="1527"/>
      <c r="AI1024" s="87"/>
      <c r="AJ1024" s="1556">
        <f>ROUND(IF(AG1024="Yes",AF1026,0),0)</f>
        <v>2917058</v>
      </c>
      <c r="AK1024" s="1557"/>
      <c r="AL1024" s="1557"/>
      <c r="AM1024" s="1557"/>
      <c r="AN1024" s="1557"/>
      <c r="AO1024" s="1557"/>
      <c r="AP1024" s="1557"/>
      <c r="AQ1024" s="1558"/>
      <c r="AR1024" s="68"/>
      <c r="AS1024" s="68"/>
      <c r="AT1024" s="68"/>
      <c r="AU1024" s="68"/>
      <c r="AV1024" s="68"/>
      <c r="AW1024" s="68"/>
      <c r="AX1024" s="68"/>
      <c r="AY1024" s="68"/>
    </row>
    <row r="1025" spans="1:51" ht="12.95" customHeight="1">
      <c r="A1025" s="14"/>
      <c r="B1025" s="73"/>
      <c r="C1025" s="74"/>
      <c r="D1025" s="1506" t="s">
        <v>1881</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2" t="str">
        <f>IF(AG1024="yes","Enter Amount:","")</f>
        <v>Enter Amount:</v>
      </c>
      <c r="AG1025" s="1613"/>
      <c r="AH1025" s="1613"/>
      <c r="AI1025" s="1614"/>
      <c r="AJ1025" s="1559"/>
      <c r="AK1025" s="1560"/>
      <c r="AL1025" s="1560"/>
      <c r="AM1025" s="1560"/>
      <c r="AN1025" s="1560"/>
      <c r="AO1025" s="1560"/>
      <c r="AP1025" s="1560"/>
      <c r="AQ1025" s="1561"/>
      <c r="AR1025" s="68"/>
      <c r="AS1025" s="68"/>
      <c r="AT1025" s="68"/>
      <c r="AU1025" s="68"/>
      <c r="AV1025" s="68"/>
      <c r="AW1025" s="68"/>
      <c r="AX1025" s="68"/>
      <c r="AY1025" s="68"/>
    </row>
    <row r="1026" spans="1:51" ht="12.95"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f>'Sources and Uses Budget'!C85</f>
        <v>2917058</v>
      </c>
      <c r="AG1026" s="1537"/>
      <c r="AH1026" s="1537"/>
      <c r="AI1026" s="1537"/>
      <c r="AJ1026" s="1559"/>
      <c r="AK1026" s="1560"/>
      <c r="AL1026" s="1560"/>
      <c r="AM1026" s="1560"/>
      <c r="AN1026" s="1560"/>
      <c r="AO1026" s="1560"/>
      <c r="AP1026" s="1560"/>
      <c r="AQ1026" s="1561"/>
      <c r="AR1026" s="68"/>
      <c r="AS1026" s="68"/>
      <c r="AT1026" s="68"/>
      <c r="AU1026" s="68"/>
      <c r="AV1026" s="68"/>
      <c r="AW1026" s="68"/>
      <c r="AX1026" s="68"/>
      <c r="AY1026" s="68"/>
    </row>
    <row r="1027" spans="1:51" ht="12.95"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2"/>
      <c r="AK1027" s="1563"/>
      <c r="AL1027" s="1563"/>
      <c r="AM1027" s="1563"/>
      <c r="AN1027" s="1563"/>
      <c r="AO1027" s="1563"/>
      <c r="AP1027" s="1563"/>
      <c r="AQ1027" s="1564"/>
      <c r="AR1027" s="68"/>
      <c r="AS1027" s="68"/>
      <c r="AT1027" s="68"/>
      <c r="AU1027" s="68"/>
      <c r="AV1027" s="68"/>
      <c r="AW1027" s="68"/>
      <c r="AX1027" s="68"/>
      <c r="AY1027" s="68"/>
    </row>
    <row r="1028" spans="1:51" ht="12.95" customHeight="1">
      <c r="A1028" s="14"/>
      <c r="B1028" s="79"/>
      <c r="C1028" s="80" t="s">
        <v>235</v>
      </c>
      <c r="D1028" s="1528" t="s">
        <v>1407</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554</v>
      </c>
      <c r="AH1028" s="1527"/>
      <c r="AI1028" s="87"/>
      <c r="AJ1028" s="1556">
        <f>ROUND(IF(AG1028="yes",(AJ991*0.1),0),0)</f>
        <v>4623987</v>
      </c>
      <c r="AK1028" s="1557"/>
      <c r="AL1028" s="1557"/>
      <c r="AM1028" s="1557"/>
      <c r="AN1028" s="1557"/>
      <c r="AO1028" s="1557"/>
      <c r="AP1028" s="1557"/>
      <c r="AQ1028" s="1558"/>
      <c r="AR1028" s="68"/>
      <c r="AS1028" s="68"/>
      <c r="AT1028" s="68"/>
      <c r="AU1028" s="68"/>
      <c r="AV1028" s="68"/>
      <c r="AW1028" s="68"/>
      <c r="AX1028" s="68"/>
      <c r="AY1028" s="68"/>
    </row>
    <row r="1029" spans="1:51" ht="12.95" customHeight="1">
      <c r="A1029" s="14"/>
      <c r="B1029" s="73"/>
      <c r="C1029" s="74"/>
      <c r="D1029" s="1506" t="s">
        <v>1408</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9"/>
      <c r="AK1029" s="1560"/>
      <c r="AL1029" s="1560"/>
      <c r="AM1029" s="1560"/>
      <c r="AN1029" s="1560"/>
      <c r="AO1029" s="1560"/>
      <c r="AP1029" s="1560"/>
      <c r="AQ1029" s="1561"/>
      <c r="AR1029" s="68"/>
      <c r="AS1029" s="68"/>
      <c r="AT1029" s="68"/>
      <c r="AU1029" s="68"/>
      <c r="AV1029" s="68"/>
      <c r="AW1029" s="68"/>
      <c r="AX1029" s="68"/>
      <c r="AY1029" s="68"/>
    </row>
    <row r="1030" spans="1:51" ht="12.95"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2"/>
      <c r="AK1030" s="1563"/>
      <c r="AL1030" s="1563"/>
      <c r="AM1030" s="1563"/>
      <c r="AN1030" s="1563"/>
      <c r="AO1030" s="1563"/>
      <c r="AP1030" s="1563"/>
      <c r="AQ1030" s="1564"/>
      <c r="AR1030" s="68"/>
      <c r="AS1030" s="68"/>
      <c r="AT1030" s="68"/>
      <c r="AU1030" s="68"/>
      <c r="AV1030" s="68"/>
      <c r="AW1030" s="68"/>
      <c r="AX1030" s="68"/>
      <c r="AY1030" s="68"/>
    </row>
    <row r="1031" spans="1:51" ht="12.95" customHeight="1">
      <c r="A1031" s="14"/>
      <c r="B1031" s="73"/>
      <c r="C1031" s="367" t="s">
        <v>697</v>
      </c>
      <c r="D1031" s="1518" t="s">
        <v>1877</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678</v>
      </c>
      <c r="AH1031" s="1527"/>
      <c r="AI1031" s="87"/>
      <c r="AJ1031" s="1556">
        <f>ROUND(IF(AG1031="yes",(AJ991*0.15),0),0)</f>
        <v>0</v>
      </c>
      <c r="AK1031" s="1557"/>
      <c r="AL1031" s="1557"/>
      <c r="AM1031" s="1557"/>
      <c r="AN1031" s="1557"/>
      <c r="AO1031" s="1557"/>
      <c r="AP1031" s="1557"/>
      <c r="AQ1031" s="1558"/>
      <c r="AR1031" s="68"/>
      <c r="AS1031" s="68"/>
      <c r="AT1031" s="68"/>
      <c r="AU1031" s="68"/>
      <c r="AV1031" s="68"/>
      <c r="AW1031" s="68"/>
      <c r="AX1031" s="68"/>
      <c r="AY1031" s="68"/>
    </row>
    <row r="1032" spans="1:51" ht="12.95" customHeight="1">
      <c r="A1032" s="14"/>
      <c r="B1032" s="73"/>
      <c r="C1032" s="74"/>
      <c r="D1032" s="1565"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6"/>
      <c r="AF1032" s="950"/>
      <c r="AG1032" s="951"/>
      <c r="AH1032" s="951"/>
      <c r="AI1032" s="952"/>
      <c r="AJ1032" s="1559"/>
      <c r="AK1032" s="1560"/>
      <c r="AL1032" s="1560"/>
      <c r="AM1032" s="1560"/>
      <c r="AN1032" s="1560"/>
      <c r="AO1032" s="1560"/>
      <c r="AP1032" s="1560"/>
      <c r="AQ1032" s="1561"/>
      <c r="AR1032" s="68"/>
      <c r="AS1032" s="68"/>
      <c r="AT1032" s="68"/>
      <c r="AU1032" s="68"/>
      <c r="AV1032" s="68"/>
      <c r="AW1032" s="68"/>
      <c r="AX1032" s="68"/>
      <c r="AY1032" s="68"/>
    </row>
    <row r="1033" spans="1:51" ht="12.95" customHeight="1">
      <c r="A1033" s="14"/>
      <c r="B1033" s="73"/>
      <c r="C1033" s="74"/>
      <c r="D1033" s="156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6"/>
      <c r="AF1033" s="950"/>
      <c r="AG1033" s="951"/>
      <c r="AH1033" s="951"/>
      <c r="AI1033" s="952"/>
      <c r="AJ1033" s="1559"/>
      <c r="AK1033" s="1560"/>
      <c r="AL1033" s="1560"/>
      <c r="AM1033" s="1560"/>
      <c r="AN1033" s="1560"/>
      <c r="AO1033" s="1560"/>
      <c r="AP1033" s="1560"/>
      <c r="AQ1033" s="1561"/>
      <c r="AR1033" s="68"/>
      <c r="AS1033" s="68"/>
      <c r="AT1033" s="68"/>
      <c r="AU1033" s="68"/>
      <c r="AV1033" s="68"/>
      <c r="AW1033" s="68"/>
      <c r="AX1033" s="68"/>
      <c r="AY1033" s="68"/>
    </row>
    <row r="1034" spans="1:51" ht="12.95"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562"/>
      <c r="AK1034" s="1563"/>
      <c r="AL1034" s="1563"/>
      <c r="AM1034" s="1563"/>
      <c r="AN1034" s="1563"/>
      <c r="AO1034" s="1563"/>
      <c r="AP1034" s="1563"/>
      <c r="AQ1034" s="1564"/>
      <c r="AR1034" s="68"/>
      <c r="AS1034" s="68"/>
      <c r="AT1034" s="68"/>
      <c r="AU1034" s="68"/>
      <c r="AV1034" s="68"/>
      <c r="AW1034" s="68"/>
      <c r="AX1034" s="68"/>
      <c r="AY1034" s="68"/>
    </row>
    <row r="1035" spans="1:51" ht="12.95" customHeight="1">
      <c r="A1035" s="14"/>
      <c r="B1035" s="73"/>
      <c r="C1035" s="367" t="s">
        <v>697</v>
      </c>
      <c r="D1035" s="1528" t="s">
        <v>1879</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8" t="s">
        <v>678</v>
      </c>
      <c r="AH1035" s="1729"/>
      <c r="AI1035" s="83"/>
      <c r="AJ1035" s="1556">
        <f>ROUND(IF(AND(AG1035="yes",AJ1031=0),(AJ991*0.1),0),0)</f>
        <v>0</v>
      </c>
      <c r="AK1035" s="1557"/>
      <c r="AL1035" s="1557"/>
      <c r="AM1035" s="1557"/>
      <c r="AN1035" s="1557"/>
      <c r="AO1035" s="1557"/>
      <c r="AP1035" s="1557"/>
      <c r="AQ1035" s="1558"/>
      <c r="AR1035" s="68"/>
      <c r="AS1035" s="68"/>
      <c r="AT1035" s="68"/>
      <c r="AU1035" s="68"/>
      <c r="AV1035" s="68"/>
      <c r="AW1035" s="68"/>
      <c r="AX1035" s="68"/>
      <c r="AY1035" s="68"/>
    </row>
    <row r="1036" spans="1:51" ht="12.95" customHeight="1">
      <c r="A1036" s="14"/>
      <c r="B1036" s="73"/>
      <c r="C1036" s="74"/>
      <c r="D1036" s="1565"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6"/>
      <c r="AF1036" s="73"/>
      <c r="AG1036" s="14"/>
      <c r="AH1036" s="14"/>
      <c r="AI1036" s="83"/>
      <c r="AJ1036" s="1559"/>
      <c r="AK1036" s="1560"/>
      <c r="AL1036" s="1560"/>
      <c r="AM1036" s="1560"/>
      <c r="AN1036" s="1560"/>
      <c r="AO1036" s="1560"/>
      <c r="AP1036" s="1560"/>
      <c r="AQ1036" s="1561"/>
      <c r="AR1036" s="68"/>
      <c r="AS1036" s="68"/>
      <c r="AT1036" s="68"/>
      <c r="AU1036" s="68"/>
      <c r="AV1036" s="68"/>
      <c r="AW1036" s="68"/>
      <c r="AX1036" s="68"/>
      <c r="AY1036" s="68"/>
    </row>
    <row r="1037" spans="1:51" ht="12.95" customHeight="1">
      <c r="A1037" s="14"/>
      <c r="B1037" s="73"/>
      <c r="C1037" s="74"/>
      <c r="D1037" s="156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6"/>
      <c r="AF1037" s="73"/>
      <c r="AG1037" s="14"/>
      <c r="AH1037" s="14"/>
      <c r="AI1037" s="83"/>
      <c r="AJ1037" s="1559"/>
      <c r="AK1037" s="1560"/>
      <c r="AL1037" s="1560"/>
      <c r="AM1037" s="1560"/>
      <c r="AN1037" s="1560"/>
      <c r="AO1037" s="1560"/>
      <c r="AP1037" s="1560"/>
      <c r="AQ1037" s="1561"/>
      <c r="AR1037" s="68"/>
      <c r="AS1037" s="68"/>
      <c r="AT1037" s="68"/>
      <c r="AU1037" s="68"/>
      <c r="AV1037" s="68"/>
      <c r="AW1037" s="68"/>
      <c r="AX1037" s="68"/>
      <c r="AY1037" s="68"/>
    </row>
    <row r="1038" spans="1:51" ht="12.95" customHeight="1">
      <c r="A1038" s="14"/>
      <c r="B1038" s="73"/>
      <c r="C1038" s="74"/>
      <c r="D1038" s="156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6"/>
      <c r="AF1038" s="73"/>
      <c r="AG1038" s="14"/>
      <c r="AH1038" s="14"/>
      <c r="AI1038" s="83"/>
      <c r="AJ1038" s="1559"/>
      <c r="AK1038" s="1560"/>
      <c r="AL1038" s="1560"/>
      <c r="AM1038" s="1560"/>
      <c r="AN1038" s="1560"/>
      <c r="AO1038" s="1560"/>
      <c r="AP1038" s="1560"/>
      <c r="AQ1038" s="1561"/>
      <c r="AR1038" s="68"/>
      <c r="AS1038" s="68"/>
      <c r="AT1038" s="68"/>
      <c r="AU1038" s="68"/>
      <c r="AV1038" s="68"/>
      <c r="AW1038" s="68"/>
      <c r="AX1038" s="68"/>
      <c r="AY1038" s="68"/>
    </row>
    <row r="1039" spans="1:51" ht="12.95"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559"/>
      <c r="AK1039" s="1560"/>
      <c r="AL1039" s="1560"/>
      <c r="AM1039" s="1560"/>
      <c r="AN1039" s="1560"/>
      <c r="AO1039" s="1560"/>
      <c r="AP1039" s="1560"/>
      <c r="AQ1039" s="1561"/>
      <c r="AR1039" s="68"/>
      <c r="AS1039" s="68"/>
      <c r="AT1039" s="68"/>
      <c r="AU1039" s="68"/>
      <c r="AV1039" s="68"/>
      <c r="AW1039" s="68"/>
      <c r="AX1039" s="68"/>
      <c r="AY1039" s="68"/>
    </row>
    <row r="1040" spans="1:51" ht="12.95" customHeight="1">
      <c r="A1040" s="14"/>
      <c r="B1040" s="79"/>
      <c r="C1040" s="131" t="s">
        <v>1035</v>
      </c>
      <c r="D1040" s="1518" t="s">
        <v>1409</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678</v>
      </c>
      <c r="AH1040" s="1527"/>
      <c r="AI1040" s="87"/>
      <c r="AJ1040" s="1556">
        <f>ROUND(IF(AG1040="yes",(AJ991*0.1),0),0)</f>
        <v>0</v>
      </c>
      <c r="AK1040" s="1557"/>
      <c r="AL1040" s="1557"/>
      <c r="AM1040" s="1557"/>
      <c r="AN1040" s="1557"/>
      <c r="AO1040" s="1557"/>
      <c r="AP1040" s="1557"/>
      <c r="AQ1040" s="1558"/>
      <c r="AR1040" s="68"/>
      <c r="AS1040" s="68"/>
      <c r="AT1040" s="68"/>
      <c r="AU1040" s="68"/>
      <c r="AV1040" s="68"/>
      <c r="AW1040" s="68"/>
      <c r="AX1040" s="68"/>
      <c r="AY1040" s="68"/>
    </row>
    <row r="1041" spans="1:51" ht="12.95" customHeight="1">
      <c r="A1041" s="14"/>
      <c r="B1041" s="73"/>
      <c r="C1041" s="74"/>
      <c r="D1041" s="1506" t="s">
        <v>2505</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9"/>
      <c r="AK1041" s="1560"/>
      <c r="AL1041" s="1560"/>
      <c r="AM1041" s="1560"/>
      <c r="AN1041" s="1560"/>
      <c r="AO1041" s="1560"/>
      <c r="AP1041" s="1560"/>
      <c r="AQ1041" s="1561"/>
      <c r="AR1041" s="68"/>
      <c r="AS1041" s="68"/>
      <c r="AT1041" s="68"/>
      <c r="AU1041" s="68"/>
      <c r="AV1041" s="68"/>
      <c r="AW1041" s="68"/>
      <c r="AX1041" s="68"/>
      <c r="AY1041" s="68"/>
    </row>
    <row r="1042" spans="1:51" ht="12.95"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9"/>
      <c r="AK1042" s="1560"/>
      <c r="AL1042" s="1560"/>
      <c r="AM1042" s="1560"/>
      <c r="AN1042" s="1560"/>
      <c r="AO1042" s="1560"/>
      <c r="AP1042" s="1560"/>
      <c r="AQ1042" s="1561"/>
      <c r="AR1042" s="68"/>
      <c r="AS1042" s="68"/>
      <c r="AT1042" s="68"/>
      <c r="AU1042" s="68"/>
      <c r="AV1042" s="68"/>
      <c r="AW1042" s="68"/>
      <c r="AX1042" s="68"/>
      <c r="AY1042" s="68"/>
    </row>
    <row r="1043" spans="1:51" ht="12.9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2"/>
      <c r="AK1043" s="1563"/>
      <c r="AL1043" s="1563"/>
      <c r="AM1043" s="1563"/>
      <c r="AN1043" s="1563"/>
      <c r="AO1043" s="1563"/>
      <c r="AP1043" s="1563"/>
      <c r="AQ1043" s="1564"/>
      <c r="AR1043" s="68"/>
      <c r="AS1043" s="68"/>
      <c r="AT1043" s="68"/>
      <c r="AU1043" s="68"/>
      <c r="AV1043" s="68"/>
      <c r="AW1043" s="68"/>
      <c r="AX1043" s="68"/>
      <c r="AY1043" s="68"/>
    </row>
    <row r="1044" spans="1:51" ht="12.95" customHeight="1">
      <c r="A1044" s="14"/>
      <c r="B1044" s="79"/>
      <c r="C1044" s="131" t="s">
        <v>1875</v>
      </c>
      <c r="D1044" s="1528" t="s">
        <v>2057</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4" t="str">
        <f>IF(X1047&gt;0,"Yes","No")</f>
        <v>Yes</v>
      </c>
      <c r="AH1044" s="1605"/>
      <c r="AI1044" s="87"/>
      <c r="AJ1044" s="1556">
        <f>IF((X1047=0),0,AY1004*AJ991)</f>
        <v>33292706.399999999</v>
      </c>
      <c r="AK1044" s="1557"/>
      <c r="AL1044" s="1557"/>
      <c r="AM1044" s="1557"/>
      <c r="AN1044" s="1557"/>
      <c r="AO1044" s="1557"/>
      <c r="AP1044" s="1557"/>
      <c r="AQ1044" s="1558"/>
      <c r="AR1044" s="68"/>
      <c r="AS1044" s="68"/>
      <c r="AT1044" s="68"/>
      <c r="AU1044" s="68"/>
      <c r="AV1044" s="68"/>
      <c r="AW1044" s="68"/>
      <c r="AX1044" s="68"/>
      <c r="AY1044" s="68"/>
    </row>
    <row r="1045" spans="1:51" ht="12.95" customHeight="1">
      <c r="A1045" s="14"/>
      <c r="B1045" s="73"/>
      <c r="C1045" s="476"/>
      <c r="D1045" s="1506" t="s">
        <v>1411</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9"/>
      <c r="AK1045" s="1560"/>
      <c r="AL1045" s="1560"/>
      <c r="AM1045" s="1560"/>
      <c r="AN1045" s="1560"/>
      <c r="AO1045" s="1560"/>
      <c r="AP1045" s="1560"/>
      <c r="AQ1045" s="1561"/>
      <c r="AR1045" s="68"/>
      <c r="AS1045" s="68"/>
      <c r="AT1045" s="68"/>
      <c r="AU1045" s="13"/>
      <c r="AV1045" s="68"/>
      <c r="AW1045" s="68"/>
      <c r="AX1045" s="68"/>
      <c r="AY1045" s="68"/>
    </row>
    <row r="1046" spans="1:51" ht="12.95"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9"/>
      <c r="AK1046" s="1560"/>
      <c r="AL1046" s="1560"/>
      <c r="AM1046" s="1560"/>
      <c r="AN1046" s="1560"/>
      <c r="AO1046" s="1560"/>
      <c r="AP1046" s="1560"/>
      <c r="AQ1046" s="156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2">
        <f>AY1002</f>
        <v>99</v>
      </c>
      <c r="J1047" s="1603"/>
      <c r="K1047" s="7"/>
      <c r="L1047" s="133"/>
      <c r="M1047" s="133"/>
      <c r="N1047" s="133"/>
      <c r="O1047" s="133"/>
      <c r="P1047" s="133"/>
      <c r="Q1047" s="133"/>
      <c r="R1047" s="133"/>
      <c r="S1047" s="133"/>
      <c r="T1047" s="133"/>
      <c r="U1047" s="133"/>
      <c r="V1047" s="134" t="s">
        <v>993</v>
      </c>
      <c r="W1047" s="48"/>
      <c r="X1047" s="1600">
        <f>BG632</f>
        <v>72</v>
      </c>
      <c r="Y1047" s="1601"/>
      <c r="Z1047" s="48"/>
      <c r="AA1047" s="48"/>
      <c r="AB1047" s="48"/>
      <c r="AC1047" s="48"/>
      <c r="AD1047" s="48"/>
      <c r="AE1047" s="49"/>
      <c r="AF1047" s="959"/>
      <c r="AG1047" s="960"/>
      <c r="AH1047" s="960"/>
      <c r="AI1047" s="961"/>
      <c r="AJ1047" s="1562"/>
      <c r="AK1047" s="1563"/>
      <c r="AL1047" s="1563"/>
      <c r="AM1047" s="1563"/>
      <c r="AN1047" s="1563"/>
      <c r="AO1047" s="1563"/>
      <c r="AP1047" s="1563"/>
      <c r="AQ1047" s="1564"/>
      <c r="AR1047" s="68"/>
      <c r="AS1047" s="68"/>
      <c r="AT1047" s="68"/>
      <c r="AU1047" s="14"/>
      <c r="AV1047" s="68"/>
      <c r="AW1047" s="68"/>
      <c r="AX1047" s="68"/>
      <c r="AY1047" s="68"/>
    </row>
    <row r="1048" spans="1:51" ht="12.95" customHeight="1">
      <c r="A1048" s="14"/>
      <c r="B1048" s="79"/>
      <c r="C1048" s="131" t="s">
        <v>1876</v>
      </c>
      <c r="D1048" s="1518" t="s">
        <v>2536</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4" t="str">
        <f>IF(X1051&gt;0,"Yes","No")</f>
        <v>Yes</v>
      </c>
      <c r="AH1048" s="1605"/>
      <c r="AI1048" s="83"/>
      <c r="AJ1048" s="1556">
        <f>IF((X1051=0),0,(2*AY1005)*AJ991)</f>
        <v>21270340.199999999</v>
      </c>
      <c r="AK1048" s="1557"/>
      <c r="AL1048" s="1557"/>
      <c r="AM1048" s="1557"/>
      <c r="AN1048" s="1557"/>
      <c r="AO1048" s="1557"/>
      <c r="AP1048" s="1557"/>
      <c r="AQ1048" s="1558"/>
      <c r="AR1048" s="68"/>
      <c r="AS1048" s="68"/>
      <c r="AT1048" s="68"/>
      <c r="AU1048" s="14"/>
      <c r="AV1048" s="68"/>
      <c r="AW1048" s="68"/>
      <c r="AX1048" s="68"/>
      <c r="AY1048" s="68"/>
    </row>
    <row r="1049" spans="1:51" ht="12.95" customHeight="1">
      <c r="A1049" s="14"/>
      <c r="B1049" s="73"/>
      <c r="C1049" s="476"/>
      <c r="D1049" s="1506" t="s">
        <v>1410</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9"/>
      <c r="AK1049" s="1560"/>
      <c r="AL1049" s="1560"/>
      <c r="AM1049" s="1560"/>
      <c r="AN1049" s="1560"/>
      <c r="AO1049" s="1560"/>
      <c r="AP1049" s="1560"/>
      <c r="AQ1049" s="1561"/>
      <c r="AR1049" s="68"/>
      <c r="AS1049" s="68"/>
      <c r="AT1049" s="68"/>
      <c r="AU1049" s="68"/>
      <c r="AV1049" s="68"/>
      <c r="AW1049" s="68"/>
      <c r="AX1049" s="68"/>
      <c r="AY1049" s="68"/>
    </row>
    <row r="1050" spans="1:51" ht="12.95"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9"/>
      <c r="AK1050" s="1560"/>
      <c r="AL1050" s="1560"/>
      <c r="AM1050" s="1560"/>
      <c r="AN1050" s="1560"/>
      <c r="AO1050" s="1560"/>
      <c r="AP1050" s="1560"/>
      <c r="AQ1050" s="156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2">
        <f>AY1002</f>
        <v>99</v>
      </c>
      <c r="J1051" s="1603"/>
      <c r="K1051" s="14"/>
      <c r="L1051" s="133"/>
      <c r="M1051" s="133"/>
      <c r="N1051" s="133"/>
      <c r="O1051" s="133"/>
      <c r="P1051" s="133"/>
      <c r="Q1051" s="133"/>
      <c r="R1051" s="133"/>
      <c r="S1051" s="133"/>
      <c r="T1051" s="133"/>
      <c r="U1051" s="133"/>
      <c r="V1051" s="134" t="s">
        <v>994</v>
      </c>
      <c r="X1051" s="1600">
        <f>BK632</f>
        <v>23</v>
      </c>
      <c r="Y1051" s="1601"/>
      <c r="AF1051" s="959"/>
      <c r="AG1051" s="960"/>
      <c r="AH1051" s="960"/>
      <c r="AI1051" s="961"/>
      <c r="AJ1051" s="1562"/>
      <c r="AK1051" s="1563"/>
      <c r="AL1051" s="1563"/>
      <c r="AM1051" s="1563"/>
      <c r="AN1051" s="1563"/>
      <c r="AO1051" s="1563"/>
      <c r="AP1051" s="1563"/>
      <c r="AQ1051" s="1564"/>
      <c r="AR1051" s="68"/>
      <c r="AS1051" s="68"/>
      <c r="AT1051" s="68"/>
      <c r="AU1051" s="68"/>
      <c r="AV1051" s="68"/>
      <c r="AW1051" s="68"/>
      <c r="AX1051" s="68"/>
      <c r="AY1051" s="68"/>
    </row>
    <row r="1052" spans="1:51" ht="12.95" customHeight="1">
      <c r="A1052" s="14"/>
      <c r="B1052" s="102"/>
      <c r="C1052" s="103"/>
      <c r="D1052" s="1598" t="s">
        <v>522</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7">
        <f>SUM(AJ991:AQ1051)</f>
        <v>122678320.89999999</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554</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554</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554</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kEYAZ82F8/ZfcITSTMSF1OjvSctSIrvvBuzHx+TYxG3sWAcaTFbKo5F8bFUfoqHGuui4COemCMKqpB9PxEmsyw==" saltValue="FY0ouPqCgTD0IHN/92h+D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X625:CB625"/>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G598:BH598"/>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H501:AK501"/>
    <mergeCell ref="D450:AF450"/>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AH542:AK542"/>
    <mergeCell ref="AC542:AF542"/>
    <mergeCell ref="AI557:AL557"/>
    <mergeCell ref="Q562:S562"/>
    <mergeCell ref="AC533:AF533"/>
    <mergeCell ref="Z555:AD555"/>
    <mergeCell ref="AE556:AH556"/>
    <mergeCell ref="Q558:S558"/>
    <mergeCell ref="AM555:AS555"/>
    <mergeCell ref="AG607:AH607"/>
    <mergeCell ref="AI558:AL558"/>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C829:H82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W859:AC859"/>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M564:AS564"/>
    <mergeCell ref="AG449:AJ449"/>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BK630:BL630"/>
    <mergeCell ref="BS630:BW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DR630:DV630"/>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6" workbookViewId="0">
      <selection activeCell="Q67" sqref="Q6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 xml:space="preserve">1)Bank of America, N.A. </v>
      </c>
      <c r="G2" s="139" t="str">
        <f>Application!B628&amp;Application!C628</f>
        <v>2)HCD-MHP</v>
      </c>
      <c r="H2" s="139" t="str">
        <f>Application!B629&amp;Application!C629</f>
        <v>3)HCD-FWHG</v>
      </c>
      <c r="I2" s="139" t="str">
        <f>Application!B630&amp;Application!C630</f>
        <v>4)Deferred Developer Fee</v>
      </c>
      <c r="J2" s="139" t="str">
        <f>Application!B631&amp;Application!C631</f>
        <v>5)GP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2100000</v>
      </c>
      <c r="C4" s="147">
        <f>[1]EVERYTHING!$C$25</f>
        <v>2100000</v>
      </c>
      <c r="D4" s="147"/>
      <c r="E4" s="147">
        <f>C4-SUM(F4:K4)</f>
        <v>0</v>
      </c>
      <c r="F4" s="147">
        <f>C4</f>
        <v>2100000</v>
      </c>
      <c r="G4" s="147"/>
      <c r="H4" s="147"/>
      <c r="I4" s="147"/>
      <c r="J4" s="147"/>
      <c r="K4" s="147"/>
      <c r="L4" s="147"/>
      <c r="M4" s="147"/>
      <c r="N4" s="147"/>
      <c r="O4" s="147"/>
      <c r="P4" s="147"/>
      <c r="Q4" s="147"/>
      <c r="R4" s="550">
        <f>SUM(E4:Q4)</f>
        <v>2100000</v>
      </c>
      <c r="S4" s="148"/>
      <c r="T4" s="148"/>
      <c r="U4" s="143"/>
    </row>
    <row r="5" spans="1:21" s="144" customFormat="1">
      <c r="A5" s="145" t="s">
        <v>28</v>
      </c>
      <c r="B5" s="146">
        <f>SUM(C5+D5)</f>
        <v>0</v>
      </c>
      <c r="C5" s="147"/>
      <c r="D5" s="147"/>
      <c r="E5" s="147">
        <f t="shared" ref="E5:E7" si="0">C5-SUM(F5:K5)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45000</v>
      </c>
      <c r="C6" s="147">
        <f>[1]EVERYTHING!$C$28</f>
        <v>45000</v>
      </c>
      <c r="D6" s="147"/>
      <c r="E6" s="147">
        <f t="shared" si="0"/>
        <v>0</v>
      </c>
      <c r="F6" s="147">
        <f>C6</f>
        <v>45000</v>
      </c>
      <c r="G6" s="147"/>
      <c r="H6" s="147"/>
      <c r="I6" s="147"/>
      <c r="J6" s="147"/>
      <c r="K6" s="147"/>
      <c r="L6" s="147"/>
      <c r="M6" s="147"/>
      <c r="N6" s="147"/>
      <c r="O6" s="147"/>
      <c r="P6" s="147"/>
      <c r="Q6" s="147"/>
      <c r="R6" s="550">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2145000</v>
      </c>
      <c r="C8" s="146">
        <f t="shared" ref="C8:Q8" si="1">SUM(C4:C7)</f>
        <v>2145000</v>
      </c>
      <c r="D8" s="146">
        <f t="shared" si="1"/>
        <v>0</v>
      </c>
      <c r="E8" s="146">
        <f t="shared" si="1"/>
        <v>0</v>
      </c>
      <c r="F8" s="146">
        <f t="shared" si="1"/>
        <v>2145000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2145000</v>
      </c>
      <c r="S8" s="148"/>
      <c r="T8" s="148"/>
      <c r="U8" s="143"/>
    </row>
    <row r="9" spans="1:21" s="144" customFormat="1">
      <c r="A9" s="145" t="s">
        <v>603</v>
      </c>
      <c r="B9" s="146">
        <f>SUM(C9+D9)</f>
        <v>0</v>
      </c>
      <c r="C9" s="147"/>
      <c r="D9" s="147"/>
      <c r="E9" s="147">
        <f t="shared" ref="E9:E10" si="2">C9-SUM(F9:K9)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47200</v>
      </c>
      <c r="C10" s="147">
        <f>[1]EVERYTHING!$C$31</f>
        <v>47200</v>
      </c>
      <c r="D10" s="147"/>
      <c r="E10" s="147">
        <f t="shared" si="2"/>
        <v>0</v>
      </c>
      <c r="F10" s="147">
        <f>C10</f>
        <v>47200</v>
      </c>
      <c r="G10" s="147"/>
      <c r="H10" s="147"/>
      <c r="I10" s="147"/>
      <c r="J10" s="147"/>
      <c r="K10" s="147"/>
      <c r="L10" s="147"/>
      <c r="M10" s="147"/>
      <c r="N10" s="147"/>
      <c r="O10" s="147"/>
      <c r="P10" s="147"/>
      <c r="Q10" s="147"/>
      <c r="R10" s="550">
        <f>SUM(E10:Q10)</f>
        <v>47200</v>
      </c>
      <c r="S10" s="147">
        <f>R10</f>
        <v>47200</v>
      </c>
      <c r="T10" s="147"/>
      <c r="U10" s="143"/>
    </row>
    <row r="11" spans="1:21" s="144" customFormat="1">
      <c r="A11" s="149" t="s">
        <v>605</v>
      </c>
      <c r="B11" s="146">
        <f>SUM(C11:D11)</f>
        <v>47200</v>
      </c>
      <c r="C11" s="146">
        <f t="shared" ref="C11:Q11" si="3">SUM(C9:C10)</f>
        <v>47200</v>
      </c>
      <c r="D11" s="146">
        <f t="shared" si="3"/>
        <v>0</v>
      </c>
      <c r="E11" s="146">
        <f t="shared" si="3"/>
        <v>0</v>
      </c>
      <c r="F11" s="146">
        <f t="shared" si="3"/>
        <v>47200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47200</v>
      </c>
      <c r="S11" s="148"/>
      <c r="T11" s="150">
        <f>SUM(T9:T10)</f>
        <v>0</v>
      </c>
      <c r="U11" s="143"/>
    </row>
    <row r="12" spans="1:21" s="144" customFormat="1">
      <c r="A12" s="149" t="s">
        <v>84</v>
      </c>
      <c r="B12" s="146">
        <f t="shared" ref="B12:Q12" si="4">SUM(B8+B11)</f>
        <v>2192200</v>
      </c>
      <c r="C12" s="146">
        <f t="shared" si="4"/>
        <v>2192200</v>
      </c>
      <c r="D12" s="146">
        <f t="shared" si="4"/>
        <v>0</v>
      </c>
      <c r="E12" s="146">
        <f t="shared" si="4"/>
        <v>0</v>
      </c>
      <c r="F12" s="146">
        <f t="shared" si="4"/>
        <v>2192200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2192200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0">
        <f>SUM(E17:Q17)</f>
        <v>0</v>
      </c>
      <c r="S17" s="147">
        <f>C17+D17</f>
        <v>0</v>
      </c>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1754</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5780995</v>
      </c>
      <c r="C29" s="147">
        <f>[1]EVERYTHING!$C$41</f>
        <v>5780995</v>
      </c>
      <c r="D29" s="147"/>
      <c r="E29" s="147">
        <f t="shared" ref="E29:E37" si="9">C29-SUM(F29:K29)</f>
        <v>0</v>
      </c>
      <c r="F29" s="147">
        <f>Application!AO627-F12</f>
        <v>2402500</v>
      </c>
      <c r="G29" s="147">
        <f>C29-F29</f>
        <v>3378495</v>
      </c>
      <c r="H29" s="147"/>
      <c r="I29" s="147"/>
      <c r="J29" s="147"/>
      <c r="K29" s="147"/>
      <c r="L29" s="147"/>
      <c r="M29" s="147"/>
      <c r="N29" s="147"/>
      <c r="O29" s="147"/>
      <c r="P29" s="147"/>
      <c r="Q29" s="147"/>
      <c r="R29" s="550">
        <f t="shared" ref="R29:R37" si="10">SUM(E29:Q29)</f>
        <v>5780995</v>
      </c>
      <c r="S29" s="147">
        <f>R29</f>
        <v>5780995</v>
      </c>
      <c r="T29" s="147"/>
      <c r="U29" s="143"/>
    </row>
    <row r="30" spans="1:21" s="144" customFormat="1">
      <c r="A30" s="145" t="s">
        <v>608</v>
      </c>
      <c r="B30" s="146">
        <f t="shared" ca="1" si="8"/>
        <v>32228460</v>
      </c>
      <c r="C30" s="147">
        <f ca="1">[1]EVERYTHING!$C$42-C34</f>
        <v>32228460</v>
      </c>
      <c r="D30" s="147"/>
      <c r="E30" s="147">
        <f t="shared" ca="1" si="9"/>
        <v>8851833</v>
      </c>
      <c r="F30" s="147"/>
      <c r="G30" s="147">
        <f>Application!AO628-G29</f>
        <v>15763955</v>
      </c>
      <c r="H30" s="147">
        <f>Application!AO629</f>
        <v>6612672</v>
      </c>
      <c r="I30" s="147"/>
      <c r="J30" s="147">
        <f>Application!AO631</f>
        <v>1000000</v>
      </c>
      <c r="K30" s="147"/>
      <c r="L30" s="147"/>
      <c r="M30" s="147"/>
      <c r="N30" s="147"/>
      <c r="O30" s="147"/>
      <c r="P30" s="147"/>
      <c r="Q30" s="147"/>
      <c r="R30" s="550">
        <f t="shared" ca="1" si="10"/>
        <v>32228460</v>
      </c>
      <c r="S30" s="147">
        <f t="shared" ref="S30:S37" ca="1" si="11">R30</f>
        <v>32228460</v>
      </c>
      <c r="T30" s="147"/>
      <c r="U30" s="143"/>
    </row>
    <row r="31" spans="1:21" s="144" customFormat="1">
      <c r="A31" s="145" t="s">
        <v>609</v>
      </c>
      <c r="B31" s="146">
        <f t="shared" si="8"/>
        <v>2051320</v>
      </c>
      <c r="C31" s="147">
        <f>[1]EVERYTHING!$C$43</f>
        <v>2051320</v>
      </c>
      <c r="D31" s="147"/>
      <c r="E31" s="147">
        <f t="shared" si="9"/>
        <v>2051320</v>
      </c>
      <c r="F31" s="147"/>
      <c r="G31" s="147"/>
      <c r="H31" s="147"/>
      <c r="I31" s="147"/>
      <c r="J31" s="147"/>
      <c r="K31" s="147"/>
      <c r="L31" s="147"/>
      <c r="M31" s="147"/>
      <c r="N31" s="147"/>
      <c r="O31" s="147"/>
      <c r="P31" s="147"/>
      <c r="Q31" s="147"/>
      <c r="R31" s="550">
        <f t="shared" si="10"/>
        <v>2051320</v>
      </c>
      <c r="S31" s="147">
        <f t="shared" si="11"/>
        <v>2051320</v>
      </c>
      <c r="T31" s="147"/>
      <c r="U31" s="143"/>
    </row>
    <row r="32" spans="1:21" s="144" customFormat="1">
      <c r="A32" s="145" t="s">
        <v>137</v>
      </c>
      <c r="B32" s="146">
        <f t="shared" si="8"/>
        <v>949811</v>
      </c>
      <c r="C32" s="147">
        <f>949811</f>
        <v>949811</v>
      </c>
      <c r="D32" s="147"/>
      <c r="E32" s="147">
        <f t="shared" si="9"/>
        <v>949811</v>
      </c>
      <c r="F32" s="147"/>
      <c r="G32" s="147"/>
      <c r="H32" s="147"/>
      <c r="I32" s="147"/>
      <c r="J32" s="147"/>
      <c r="K32" s="147"/>
      <c r="L32" s="147"/>
      <c r="M32" s="147"/>
      <c r="N32" s="147"/>
      <c r="O32" s="147"/>
      <c r="P32" s="147"/>
      <c r="Q32" s="147"/>
      <c r="R32" s="550">
        <f t="shared" si="10"/>
        <v>949811</v>
      </c>
      <c r="S32" s="147">
        <f t="shared" si="11"/>
        <v>949811</v>
      </c>
      <c r="T32" s="147"/>
      <c r="U32" s="143"/>
    </row>
    <row r="33" spans="1:21" s="144" customFormat="1">
      <c r="A33" s="145" t="s">
        <v>138</v>
      </c>
      <c r="B33" s="146">
        <f t="shared" si="8"/>
        <v>2394000</v>
      </c>
      <c r="C33" s="147">
        <f>[1]EVERYTHING!$C$45-C32</f>
        <v>2394000</v>
      </c>
      <c r="D33" s="147"/>
      <c r="E33" s="147">
        <f t="shared" si="9"/>
        <v>2394000</v>
      </c>
      <c r="F33" s="147"/>
      <c r="G33" s="147"/>
      <c r="H33" s="147"/>
      <c r="I33" s="147"/>
      <c r="J33" s="147"/>
      <c r="K33" s="147"/>
      <c r="L33" s="147"/>
      <c r="M33" s="147"/>
      <c r="N33" s="147"/>
      <c r="O33" s="147"/>
      <c r="P33" s="147"/>
      <c r="Q33" s="147"/>
      <c r="R33" s="550">
        <f t="shared" si="10"/>
        <v>2394000</v>
      </c>
      <c r="S33" s="147">
        <f t="shared" si="11"/>
        <v>2394000</v>
      </c>
      <c r="T33" s="147"/>
      <c r="U33" s="143"/>
    </row>
    <row r="34" spans="1:21" s="144" customFormat="1">
      <c r="A34" s="145" t="s">
        <v>139</v>
      </c>
      <c r="B34" s="146">
        <f t="shared" ca="1" si="8"/>
        <v>7601891</v>
      </c>
      <c r="C34" s="147">
        <f ca="1">0.2*(C30+C29)</f>
        <v>7601891</v>
      </c>
      <c r="D34" s="147"/>
      <c r="E34" s="147">
        <f t="shared" ca="1" si="9"/>
        <v>7601891</v>
      </c>
      <c r="F34" s="147"/>
      <c r="G34" s="147"/>
      <c r="H34" s="147"/>
      <c r="I34" s="147"/>
      <c r="J34" s="147"/>
      <c r="K34" s="147"/>
      <c r="L34" s="147"/>
      <c r="M34" s="147"/>
      <c r="N34" s="147"/>
      <c r="O34" s="147"/>
      <c r="P34" s="147"/>
      <c r="Q34" s="147"/>
      <c r="R34" s="550">
        <f t="shared" ca="1" si="10"/>
        <v>7601891</v>
      </c>
      <c r="S34" s="147">
        <f t="shared" ca="1" si="11"/>
        <v>7601891</v>
      </c>
      <c r="T34" s="147"/>
      <c r="U34" s="143"/>
    </row>
    <row r="35" spans="1:21" s="144" customFormat="1">
      <c r="A35" s="145" t="s">
        <v>140</v>
      </c>
      <c r="B35" s="146">
        <f t="shared" si="8"/>
        <v>466000</v>
      </c>
      <c r="C35" s="147">
        <f>[1]EVERYTHING!$C$44</f>
        <v>466000</v>
      </c>
      <c r="D35" s="147"/>
      <c r="E35" s="147">
        <f t="shared" si="9"/>
        <v>466000</v>
      </c>
      <c r="F35" s="147"/>
      <c r="G35" s="147"/>
      <c r="H35" s="147"/>
      <c r="I35" s="147"/>
      <c r="J35" s="147"/>
      <c r="K35" s="147"/>
      <c r="L35" s="147"/>
      <c r="M35" s="147"/>
      <c r="N35" s="147"/>
      <c r="O35" s="147"/>
      <c r="P35" s="147"/>
      <c r="Q35" s="147"/>
      <c r="R35" s="550">
        <f t="shared" si="10"/>
        <v>466000</v>
      </c>
      <c r="S35" s="147">
        <f t="shared" si="11"/>
        <v>466000</v>
      </c>
      <c r="T35" s="147"/>
      <c r="U35" s="143"/>
    </row>
    <row r="36" spans="1:21" s="144" customFormat="1">
      <c r="A36" s="304" t="s">
        <v>1754</v>
      </c>
      <c r="B36" s="146">
        <f t="shared" si="8"/>
        <v>150000</v>
      </c>
      <c r="C36" s="147">
        <f>[1]EVERYTHING!$C$81</f>
        <v>150000</v>
      </c>
      <c r="D36" s="147"/>
      <c r="E36" s="147">
        <f t="shared" si="9"/>
        <v>150000</v>
      </c>
      <c r="F36" s="147"/>
      <c r="G36" s="147"/>
      <c r="H36" s="147"/>
      <c r="I36" s="147"/>
      <c r="J36" s="147"/>
      <c r="K36" s="147"/>
      <c r="L36" s="147"/>
      <c r="M36" s="147"/>
      <c r="N36" s="147"/>
      <c r="O36" s="147"/>
      <c r="P36" s="147"/>
      <c r="Q36" s="147"/>
      <c r="R36" s="550">
        <f t="shared" si="10"/>
        <v>150000</v>
      </c>
      <c r="S36" s="147">
        <f t="shared" si="11"/>
        <v>150000</v>
      </c>
      <c r="T36" s="147"/>
      <c r="U36" s="143"/>
    </row>
    <row r="37" spans="1:21" s="144" customFormat="1">
      <c r="A37" s="1193" t="s">
        <v>2782</v>
      </c>
      <c r="B37" s="146">
        <f t="shared" si="8"/>
        <v>782254</v>
      </c>
      <c r="C37" s="147">
        <f>[1]EVERYTHING!$C$46</f>
        <v>782254</v>
      </c>
      <c r="D37" s="147"/>
      <c r="E37" s="147">
        <f t="shared" si="9"/>
        <v>782254</v>
      </c>
      <c r="F37" s="147"/>
      <c r="G37" s="147"/>
      <c r="H37" s="147"/>
      <c r="I37" s="147"/>
      <c r="J37" s="147"/>
      <c r="K37" s="147"/>
      <c r="L37" s="147"/>
      <c r="M37" s="147"/>
      <c r="N37" s="147"/>
      <c r="O37" s="147"/>
      <c r="P37" s="147"/>
      <c r="Q37" s="147"/>
      <c r="R37" s="550">
        <f t="shared" si="10"/>
        <v>782254</v>
      </c>
      <c r="S37" s="147">
        <f t="shared" si="11"/>
        <v>782254</v>
      </c>
      <c r="T37" s="147"/>
      <c r="U37" s="143"/>
    </row>
    <row r="38" spans="1:21" s="144" customFormat="1">
      <c r="A38" s="149" t="s">
        <v>143</v>
      </c>
      <c r="B38" s="146">
        <f t="shared" ca="1" si="8"/>
        <v>52404731</v>
      </c>
      <c r="C38" s="146">
        <f ca="1">SUM(C29:C37)</f>
        <v>52404731</v>
      </c>
      <c r="D38" s="146">
        <f t="shared" ref="D38:Q38" si="12">SUM(D29:D37)</f>
        <v>0</v>
      </c>
      <c r="E38" s="146">
        <f t="shared" ca="1" si="12"/>
        <v>23247109</v>
      </c>
      <c r="F38" s="146">
        <f t="shared" si="12"/>
        <v>2402500</v>
      </c>
      <c r="G38" s="146">
        <f t="shared" si="12"/>
        <v>19142450</v>
      </c>
      <c r="H38" s="146">
        <f t="shared" si="12"/>
        <v>6612672</v>
      </c>
      <c r="I38" s="146">
        <f t="shared" si="12"/>
        <v>0</v>
      </c>
      <c r="J38" s="146">
        <f t="shared" si="12"/>
        <v>1000000</v>
      </c>
      <c r="K38" s="146">
        <f t="shared" si="12"/>
        <v>0</v>
      </c>
      <c r="L38" s="146">
        <f t="shared" si="12"/>
        <v>0</v>
      </c>
      <c r="M38" s="146">
        <f t="shared" si="12"/>
        <v>0</v>
      </c>
      <c r="N38" s="146">
        <f t="shared" si="12"/>
        <v>0</v>
      </c>
      <c r="O38" s="146">
        <f t="shared" si="12"/>
        <v>0</v>
      </c>
      <c r="P38" s="146">
        <f t="shared" si="12"/>
        <v>0</v>
      </c>
      <c r="Q38" s="146">
        <f t="shared" si="12"/>
        <v>0</v>
      </c>
      <c r="R38" s="370">
        <f ca="1">SUM(R29:R37)</f>
        <v>52404731</v>
      </c>
      <c r="S38" s="150">
        <f ca="1">SUM(S29:S37)</f>
        <v>52404731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723000</v>
      </c>
      <c r="C40" s="147">
        <f>[1]EVERYTHING!$C$49</f>
        <v>723000</v>
      </c>
      <c r="D40" s="147"/>
      <c r="E40" s="147">
        <f t="shared" ref="E40:E41" si="13">C40-SUM(F40:K40)</f>
        <v>723000</v>
      </c>
      <c r="F40" s="147"/>
      <c r="G40" s="147"/>
      <c r="H40" s="147"/>
      <c r="I40" s="147"/>
      <c r="J40" s="147"/>
      <c r="K40" s="147"/>
      <c r="L40" s="147"/>
      <c r="M40" s="147"/>
      <c r="N40" s="147"/>
      <c r="O40" s="147"/>
      <c r="P40" s="147"/>
      <c r="Q40" s="147"/>
      <c r="R40" s="550">
        <f>SUM(E40:Q40)</f>
        <v>723000</v>
      </c>
      <c r="S40" s="147">
        <f>R40</f>
        <v>723000</v>
      </c>
      <c r="T40" s="147"/>
      <c r="U40" s="143"/>
    </row>
    <row r="41" spans="1:21" s="144" customFormat="1">
      <c r="A41" s="145" t="s">
        <v>146</v>
      </c>
      <c r="B41" s="146">
        <f>SUM(C41+D41)</f>
        <v>270000</v>
      </c>
      <c r="C41" s="147">
        <f>[1]EVERYTHING!$C$50</f>
        <v>270000</v>
      </c>
      <c r="D41" s="147"/>
      <c r="E41" s="147">
        <f t="shared" si="13"/>
        <v>270000</v>
      </c>
      <c r="F41" s="147"/>
      <c r="G41" s="147"/>
      <c r="H41" s="147"/>
      <c r="I41" s="147"/>
      <c r="J41" s="147"/>
      <c r="K41" s="147"/>
      <c r="L41" s="147"/>
      <c r="M41" s="147"/>
      <c r="N41" s="147"/>
      <c r="O41" s="147"/>
      <c r="P41" s="147"/>
      <c r="Q41" s="147"/>
      <c r="R41" s="550">
        <f>SUM(E41:Q41)</f>
        <v>270000</v>
      </c>
      <c r="S41" s="147">
        <f>R41</f>
        <v>270000</v>
      </c>
      <c r="T41" s="147"/>
      <c r="U41" s="143"/>
    </row>
    <row r="42" spans="1:21" s="144" customFormat="1">
      <c r="A42" s="149" t="s">
        <v>147</v>
      </c>
      <c r="B42" s="146">
        <f>SUM(C42:D42)</f>
        <v>993000</v>
      </c>
      <c r="C42" s="146">
        <f>SUM(C39:C41)</f>
        <v>993000</v>
      </c>
      <c r="D42" s="146">
        <f>SUM(D39:D41)</f>
        <v>0</v>
      </c>
      <c r="E42" s="146">
        <f t="shared" ref="E42:T42" si="14">SUM(E40:E41)</f>
        <v>993000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993000</v>
      </c>
      <c r="S42" s="150">
        <f t="shared" si="14"/>
        <v>993000</v>
      </c>
      <c r="T42" s="150">
        <f t="shared" si="14"/>
        <v>0</v>
      </c>
      <c r="U42" s="143"/>
    </row>
    <row r="43" spans="1:21" s="144" customFormat="1">
      <c r="A43" s="149" t="s">
        <v>148</v>
      </c>
      <c r="B43" s="146">
        <f>SUM(C43:D43)</f>
        <v>505000</v>
      </c>
      <c r="C43" s="147">
        <f>[1]EVERYTHING!$C$52</f>
        <v>505000</v>
      </c>
      <c r="D43" s="147"/>
      <c r="E43" s="147">
        <f t="shared" ref="E43" si="15">C43-SUM(F43:K43)</f>
        <v>505000</v>
      </c>
      <c r="F43" s="147"/>
      <c r="G43" s="147"/>
      <c r="H43" s="147"/>
      <c r="I43" s="147"/>
      <c r="J43" s="147"/>
      <c r="K43" s="147"/>
      <c r="L43" s="147"/>
      <c r="M43" s="147"/>
      <c r="N43" s="147"/>
      <c r="O43" s="147"/>
      <c r="P43" s="147"/>
      <c r="Q43" s="147"/>
      <c r="R43" s="550">
        <f>SUM(E43:Q43)</f>
        <v>505000</v>
      </c>
      <c r="S43" s="147">
        <f>R43</f>
        <v>505000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6497169.1280686092</v>
      </c>
      <c r="C45" s="147">
        <f>[1]EVERYTHING!$C$54</f>
        <v>6497169.1280686092</v>
      </c>
      <c r="D45" s="147"/>
      <c r="E45" s="147">
        <f t="shared" ref="E45:E53" si="17">C45-SUM(F45:K45)</f>
        <v>6497169.1280686092</v>
      </c>
      <c r="F45" s="147"/>
      <c r="G45" s="147"/>
      <c r="H45" s="147"/>
      <c r="I45" s="147"/>
      <c r="J45" s="147"/>
      <c r="K45" s="147"/>
      <c r="L45" s="147"/>
      <c r="M45" s="147"/>
      <c r="N45" s="147"/>
      <c r="O45" s="147"/>
      <c r="P45" s="147"/>
      <c r="Q45" s="147"/>
      <c r="R45" s="550">
        <f t="shared" ref="R45:R53" si="18">SUM(E45:Q45)</f>
        <v>6497169.1280686092</v>
      </c>
      <c r="S45" s="147">
        <f>[1]EVERYTHING!$F$54</f>
        <v>4204050.612279688</v>
      </c>
      <c r="T45" s="147"/>
      <c r="U45" s="143"/>
    </row>
    <row r="46" spans="1:21" s="144" customFormat="1">
      <c r="A46" s="145" t="s">
        <v>151</v>
      </c>
      <c r="B46" s="146">
        <f t="shared" si="16"/>
        <v>486401.28263561428</v>
      </c>
      <c r="C46" s="147">
        <f>[1]EVERYTHING!$C$56</f>
        <v>486401.28263561428</v>
      </c>
      <c r="D46" s="147"/>
      <c r="E46" s="147">
        <f t="shared" si="17"/>
        <v>486401.28263561428</v>
      </c>
      <c r="F46" s="147"/>
      <c r="G46" s="147"/>
      <c r="H46" s="147"/>
      <c r="I46" s="147"/>
      <c r="J46" s="147"/>
      <c r="K46" s="147"/>
      <c r="L46" s="147"/>
      <c r="M46" s="147"/>
      <c r="N46" s="147"/>
      <c r="O46" s="147"/>
      <c r="P46" s="147"/>
      <c r="Q46" s="147"/>
      <c r="R46" s="550">
        <f t="shared" si="18"/>
        <v>486401.28263561428</v>
      </c>
      <c r="S46" s="147">
        <f>[1]EVERYTHING!$F$56</f>
        <v>374154.83279662638</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197674.44979689154</v>
      </c>
      <c r="C49" s="147">
        <f>[1]EVERYTHING!$C$63</f>
        <v>197674.44979689154</v>
      </c>
      <c r="D49" s="147"/>
      <c r="E49" s="147">
        <f t="shared" si="17"/>
        <v>197674.44979689154</v>
      </c>
      <c r="F49" s="147"/>
      <c r="G49" s="147"/>
      <c r="H49" s="147"/>
      <c r="I49" s="147"/>
      <c r="J49" s="147"/>
      <c r="K49" s="147"/>
      <c r="L49" s="147"/>
      <c r="M49" s="147"/>
      <c r="N49" s="147"/>
      <c r="O49" s="147"/>
      <c r="P49" s="147"/>
      <c r="Q49" s="147"/>
      <c r="R49" s="550">
        <f t="shared" si="18"/>
        <v>197674.44979689154</v>
      </c>
      <c r="S49" s="147">
        <f>[1]EVERYTHING!$F$63</f>
        <v>152057.26907453194</v>
      </c>
      <c r="T49" s="147"/>
      <c r="U49" s="143"/>
    </row>
    <row r="50" spans="1:21" s="144" customFormat="1">
      <c r="A50" s="145" t="s">
        <v>156</v>
      </c>
      <c r="B50" s="146">
        <f t="shared" si="16"/>
        <v>80000</v>
      </c>
      <c r="C50" s="147">
        <f>[1]EVERYTHING!$C$59</f>
        <v>80000</v>
      </c>
      <c r="D50" s="147"/>
      <c r="E50" s="147">
        <f t="shared" si="17"/>
        <v>80000</v>
      </c>
      <c r="F50" s="147"/>
      <c r="G50" s="147"/>
      <c r="H50" s="147"/>
      <c r="I50" s="147"/>
      <c r="J50" s="147"/>
      <c r="K50" s="147"/>
      <c r="L50" s="147"/>
      <c r="M50" s="147"/>
      <c r="N50" s="147"/>
      <c r="O50" s="147"/>
      <c r="P50" s="147"/>
      <c r="Q50" s="147"/>
      <c r="R50" s="550">
        <f t="shared" si="18"/>
        <v>80000</v>
      </c>
      <c r="S50" s="147">
        <f>[1]EVERYTHING!$F$59</f>
        <v>61538.461538461539</v>
      </c>
      <c r="T50" s="147"/>
      <c r="U50" s="143"/>
    </row>
    <row r="51" spans="1:21" s="144" customFormat="1">
      <c r="A51" s="304" t="s">
        <v>154</v>
      </c>
      <c r="B51" s="146">
        <f t="shared" si="16"/>
        <v>10000</v>
      </c>
      <c r="C51" s="147">
        <f>[1]EVERYTHING!$C$57</f>
        <v>10000</v>
      </c>
      <c r="D51" s="147"/>
      <c r="E51" s="147">
        <f t="shared" si="17"/>
        <v>10000</v>
      </c>
      <c r="F51" s="147"/>
      <c r="G51" s="147"/>
      <c r="H51" s="147"/>
      <c r="I51" s="147"/>
      <c r="J51" s="147"/>
      <c r="K51" s="147"/>
      <c r="L51" s="147"/>
      <c r="M51" s="147"/>
      <c r="N51" s="147"/>
      <c r="O51" s="147"/>
      <c r="P51" s="147"/>
      <c r="Q51" s="147"/>
      <c r="R51" s="550">
        <f t="shared" si="18"/>
        <v>10000</v>
      </c>
      <c r="S51" s="147">
        <f>[1]EVERYTHING!$F$57</f>
        <v>10000</v>
      </c>
      <c r="T51" s="147"/>
      <c r="U51" s="143"/>
    </row>
    <row r="52" spans="1:21" s="144" customFormat="1">
      <c r="A52" s="145" t="s">
        <v>155</v>
      </c>
      <c r="B52" s="146">
        <f t="shared" si="16"/>
        <v>579587</v>
      </c>
      <c r="C52" s="147">
        <f>[1]EVERYTHING!$C$58</f>
        <v>579587</v>
      </c>
      <c r="D52" s="147"/>
      <c r="E52" s="147">
        <f t="shared" si="17"/>
        <v>579587</v>
      </c>
      <c r="F52" s="147"/>
      <c r="G52" s="147"/>
      <c r="H52" s="147"/>
      <c r="I52" s="147"/>
      <c r="J52" s="147"/>
      <c r="K52" s="147"/>
      <c r="L52" s="147"/>
      <c r="M52" s="147"/>
      <c r="N52" s="147"/>
      <c r="O52" s="147"/>
      <c r="P52" s="147"/>
      <c r="Q52" s="147"/>
      <c r="R52" s="550">
        <f t="shared" si="18"/>
        <v>579587</v>
      </c>
      <c r="S52" s="147">
        <f>R52</f>
        <v>579587</v>
      </c>
      <c r="T52" s="147"/>
      <c r="U52" s="143"/>
    </row>
    <row r="53" spans="1:21" s="144" customFormat="1">
      <c r="A53" s="1193" t="s">
        <v>2783</v>
      </c>
      <c r="B53" s="146">
        <f t="shared" si="16"/>
        <v>180000</v>
      </c>
      <c r="C53" s="147">
        <f>[1]EVERYTHING!$C$55</f>
        <v>180000</v>
      </c>
      <c r="D53" s="147"/>
      <c r="E53" s="147">
        <f t="shared" si="17"/>
        <v>180000</v>
      </c>
      <c r="F53" s="147"/>
      <c r="G53" s="147"/>
      <c r="H53" s="147"/>
      <c r="I53" s="147"/>
      <c r="J53" s="147"/>
      <c r="K53" s="147"/>
      <c r="L53" s="147"/>
      <c r="M53" s="147"/>
      <c r="N53" s="147"/>
      <c r="O53" s="147"/>
      <c r="P53" s="147"/>
      <c r="Q53" s="147"/>
      <c r="R53" s="550">
        <f t="shared" si="18"/>
        <v>180000</v>
      </c>
      <c r="S53" s="147">
        <f>R53</f>
        <v>180000</v>
      </c>
      <c r="T53" s="147"/>
      <c r="U53" s="143"/>
    </row>
    <row r="54" spans="1:21" s="153" customFormat="1">
      <c r="A54" s="149" t="s">
        <v>157</v>
      </c>
      <c r="B54" s="150">
        <f>SUM(C54:D54)</f>
        <v>8030831.8605011152</v>
      </c>
      <c r="C54" s="150">
        <f t="shared" ref="C54:T54" si="19">SUM(C45:C53)</f>
        <v>8030831.8605011152</v>
      </c>
      <c r="D54" s="150">
        <f t="shared" si="19"/>
        <v>0</v>
      </c>
      <c r="E54" s="150">
        <f t="shared" si="19"/>
        <v>8030831.8605011152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8030831.8605011152</v>
      </c>
      <c r="S54" s="150">
        <f t="shared" si="19"/>
        <v>5561388.1756893089</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55947</v>
      </c>
      <c r="C56" s="147">
        <f>[1]EVERYTHING!$C$62</f>
        <v>55947</v>
      </c>
      <c r="D56" s="147"/>
      <c r="E56" s="147">
        <f t="shared" ref="E56:E61" si="21">C56-SUM(F56:K56)</f>
        <v>55947</v>
      </c>
      <c r="F56" s="147"/>
      <c r="G56" s="147"/>
      <c r="H56" s="147"/>
      <c r="I56" s="147"/>
      <c r="J56" s="147"/>
      <c r="K56" s="147"/>
      <c r="L56" s="147"/>
      <c r="M56" s="147"/>
      <c r="N56" s="147"/>
      <c r="O56" s="147"/>
      <c r="P56" s="147"/>
      <c r="Q56" s="147"/>
      <c r="R56" s="550">
        <f t="shared" ref="R56:R61" si="22">SUM(E56:Q56)</f>
        <v>55947</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20000</v>
      </c>
      <c r="C58" s="147">
        <f>[1]EVERYTHING!$C$64</f>
        <v>20000</v>
      </c>
      <c r="D58" s="147"/>
      <c r="E58" s="147">
        <f t="shared" si="21"/>
        <v>20000</v>
      </c>
      <c r="F58" s="147"/>
      <c r="G58" s="147"/>
      <c r="H58" s="147"/>
      <c r="I58" s="147"/>
      <c r="J58" s="147"/>
      <c r="K58" s="147"/>
      <c r="L58" s="147"/>
      <c r="M58" s="147"/>
      <c r="N58" s="147"/>
      <c r="O58" s="147"/>
      <c r="P58" s="147"/>
      <c r="Q58" s="147"/>
      <c r="R58" s="550">
        <f t="shared" si="22"/>
        <v>20000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2784</v>
      </c>
      <c r="B61" s="146">
        <f t="shared" si="20"/>
        <v>20000</v>
      </c>
      <c r="C61" s="147">
        <f>[1]EVERYTHING!$C$65</f>
        <v>20000</v>
      </c>
      <c r="D61" s="147"/>
      <c r="E61" s="147">
        <f t="shared" si="21"/>
        <v>20000</v>
      </c>
      <c r="F61" s="147"/>
      <c r="G61" s="147"/>
      <c r="H61" s="147"/>
      <c r="I61" s="147"/>
      <c r="J61" s="147"/>
      <c r="K61" s="147"/>
      <c r="L61" s="147"/>
      <c r="M61" s="147"/>
      <c r="N61" s="147"/>
      <c r="O61" s="147"/>
      <c r="P61" s="147"/>
      <c r="Q61" s="147"/>
      <c r="R61" s="550">
        <f t="shared" si="22"/>
        <v>20000</v>
      </c>
      <c r="S61" s="148"/>
      <c r="T61" s="148"/>
      <c r="U61" s="143"/>
    </row>
    <row r="62" spans="1:21" s="144" customFormat="1" ht="13.7" customHeight="1">
      <c r="A62" s="149" t="s">
        <v>302</v>
      </c>
      <c r="B62" s="146">
        <f>SUM(C62:D62)</f>
        <v>95947</v>
      </c>
      <c r="C62" s="146">
        <f t="shared" ref="C62:R62" si="23">SUM(C56:C61)</f>
        <v>95947</v>
      </c>
      <c r="D62" s="146">
        <f t="shared" si="23"/>
        <v>0</v>
      </c>
      <c r="E62" s="146">
        <f t="shared" si="23"/>
        <v>95947</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95947</v>
      </c>
      <c r="S62" s="148"/>
      <c r="T62" s="148"/>
      <c r="U62" s="143"/>
    </row>
    <row r="63" spans="1:21" s="144" customFormat="1">
      <c r="A63" s="154" t="s">
        <v>303</v>
      </c>
      <c r="B63" s="146">
        <f t="shared" ref="B63:R63" ca="1" si="24">SUM(B8+B11+B13+B14+B15+B26+B27+B38+B42+B43+B54+B62)</f>
        <v>64221709.860501118</v>
      </c>
      <c r="C63" s="146">
        <f t="shared" ca="1" si="24"/>
        <v>64221709.860501118</v>
      </c>
      <c r="D63" s="146">
        <f t="shared" si="24"/>
        <v>0</v>
      </c>
      <c r="E63" s="146">
        <f t="shared" ca="1" si="24"/>
        <v>32871887.860501114</v>
      </c>
      <c r="F63" s="146">
        <f t="shared" si="24"/>
        <v>4594700</v>
      </c>
      <c r="G63" s="146">
        <f t="shared" si="24"/>
        <v>19142450</v>
      </c>
      <c r="H63" s="146">
        <f t="shared" si="24"/>
        <v>6612672</v>
      </c>
      <c r="I63" s="146">
        <f t="shared" si="24"/>
        <v>0</v>
      </c>
      <c r="J63" s="146">
        <f t="shared" si="24"/>
        <v>1000000</v>
      </c>
      <c r="K63" s="146">
        <f t="shared" si="24"/>
        <v>0</v>
      </c>
      <c r="L63" s="146">
        <f t="shared" si="24"/>
        <v>0</v>
      </c>
      <c r="M63" s="146">
        <f t="shared" si="24"/>
        <v>0</v>
      </c>
      <c r="N63" s="146">
        <f t="shared" si="24"/>
        <v>0</v>
      </c>
      <c r="O63" s="146">
        <f t="shared" si="24"/>
        <v>0</v>
      </c>
      <c r="P63" s="146">
        <f t="shared" si="24"/>
        <v>0</v>
      </c>
      <c r="Q63" s="146">
        <f t="shared" si="24"/>
        <v>0</v>
      </c>
      <c r="R63" s="370">
        <f t="shared" ca="1" si="24"/>
        <v>64221709.860501118</v>
      </c>
      <c r="S63" s="146">
        <f ca="1">SUM(S10+S13+S14+S15+S26+S27+S38+S42+S43+S54)</f>
        <v>59511319.17568931</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[1]EVERYTHING!$C$69</f>
        <v>60000</v>
      </c>
      <c r="D65" s="147"/>
      <c r="E65" s="147">
        <f t="shared" ref="E65:E69" si="25">C65-SUM(F65:K65)</f>
        <v>60000</v>
      </c>
      <c r="F65" s="147"/>
      <c r="G65" s="147"/>
      <c r="H65" s="147"/>
      <c r="I65" s="147"/>
      <c r="J65" s="147"/>
      <c r="K65" s="147"/>
      <c r="L65" s="147"/>
      <c r="M65" s="147"/>
      <c r="N65" s="147"/>
      <c r="O65" s="147"/>
      <c r="P65" s="147"/>
      <c r="Q65" s="147"/>
      <c r="R65" s="550">
        <f>SUM(E65:Q65)</f>
        <v>60000</v>
      </c>
      <c r="S65" s="147">
        <f>[1]EVERYTHING!$F$69</f>
        <v>46153.846153846156</v>
      </c>
      <c r="T65" s="147"/>
      <c r="U65" s="143"/>
    </row>
    <row r="66" spans="1:21" s="144" customFormat="1" ht="24" customHeight="1">
      <c r="A66" s="304" t="s">
        <v>1755</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2785</v>
      </c>
      <c r="B69" s="146">
        <f>SUM(C69+D69)</f>
        <v>80000</v>
      </c>
      <c r="C69" s="147">
        <f>[1]EVERYTHING!$C$70</f>
        <v>80000</v>
      </c>
      <c r="D69" s="147"/>
      <c r="E69" s="147">
        <f t="shared" si="25"/>
        <v>80000</v>
      </c>
      <c r="F69" s="147"/>
      <c r="G69" s="147"/>
      <c r="H69" s="147"/>
      <c r="I69" s="147"/>
      <c r="J69" s="147"/>
      <c r="K69" s="147"/>
      <c r="L69" s="147"/>
      <c r="M69" s="147"/>
      <c r="N69" s="147"/>
      <c r="O69" s="147"/>
      <c r="P69" s="147"/>
      <c r="Q69" s="147"/>
      <c r="R69" s="550">
        <f>SUM(E69:Q69)</f>
        <v>80000</v>
      </c>
      <c r="S69" s="147">
        <f>[1]EVERYTHING!$F$70</f>
        <v>61538.461538461539</v>
      </c>
      <c r="T69" s="147"/>
      <c r="U69" s="143"/>
    </row>
    <row r="70" spans="1:21" s="144" customFormat="1">
      <c r="A70" s="149" t="s">
        <v>1759</v>
      </c>
      <c r="B70" s="146">
        <f>SUM(C70:D70)</f>
        <v>140000</v>
      </c>
      <c r="C70" s="146">
        <f>SUM(C65:C69)</f>
        <v>140000</v>
      </c>
      <c r="D70" s="146">
        <f>SUM(D65:D69)</f>
        <v>0</v>
      </c>
      <c r="E70" s="146">
        <f t="shared" ref="E70:T70" si="26">SUM(E65:E69)</f>
        <v>140000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140000</v>
      </c>
      <c r="S70" s="150">
        <f t="shared" si="26"/>
        <v>107692.30769230769</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C72-SUM(F72:K72)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582706.89883132791</v>
      </c>
      <c r="C75" s="147">
        <f>[1]EVERYTHING!$C$73</f>
        <v>582706.89883132791</v>
      </c>
      <c r="D75" s="147"/>
      <c r="E75" s="147">
        <f t="shared" si="27"/>
        <v>582706.89883132791</v>
      </c>
      <c r="F75" s="147"/>
      <c r="G75" s="147"/>
      <c r="H75" s="147"/>
      <c r="I75" s="147"/>
      <c r="J75" s="147"/>
      <c r="K75" s="147"/>
      <c r="L75" s="147"/>
      <c r="M75" s="147"/>
      <c r="N75" s="147"/>
      <c r="O75" s="147"/>
      <c r="P75" s="147"/>
      <c r="Q75" s="147"/>
      <c r="R75" s="550">
        <f>SUM(E75:Q75)</f>
        <v>582706.89883132791</v>
      </c>
      <c r="S75" s="148"/>
      <c r="T75" s="148"/>
      <c r="U75" s="143"/>
    </row>
    <row r="76" spans="1:21" s="144" customFormat="1">
      <c r="A76" s="1193" t="s">
        <v>2786</v>
      </c>
      <c r="B76" s="146">
        <f>SUM(C76+D76)</f>
        <v>100233</v>
      </c>
      <c r="C76" s="147">
        <f>[1]EVERYTHING!$C$75</f>
        <v>100233</v>
      </c>
      <c r="D76" s="147"/>
      <c r="E76" s="147">
        <f t="shared" si="27"/>
        <v>100233</v>
      </c>
      <c r="F76" s="147"/>
      <c r="G76" s="147"/>
      <c r="H76" s="147"/>
      <c r="I76" s="147"/>
      <c r="J76" s="147"/>
      <c r="K76" s="147"/>
      <c r="L76" s="147"/>
      <c r="M76" s="147"/>
      <c r="N76" s="147"/>
      <c r="O76" s="147"/>
      <c r="P76" s="147"/>
      <c r="Q76" s="147"/>
      <c r="R76" s="550">
        <f>SUM(E76:Q76)</f>
        <v>100233</v>
      </c>
      <c r="S76" s="148"/>
      <c r="T76" s="148"/>
      <c r="U76" s="143"/>
    </row>
    <row r="77" spans="1:21" s="144" customFormat="1">
      <c r="A77" s="149" t="s">
        <v>615</v>
      </c>
      <c r="B77" s="146">
        <f>SUM(C77:D77)</f>
        <v>682939.89883132791</v>
      </c>
      <c r="C77" s="146">
        <f>SUM(C72:C76)</f>
        <v>682939.89883132791</v>
      </c>
      <c r="D77" s="146">
        <f>SUM(D72:D76)</f>
        <v>0</v>
      </c>
      <c r="E77" s="146">
        <f t="shared" ref="E77:Q77" si="28">SUM(E72:E76)</f>
        <v>682939.89883132791</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682939.89883132791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3135283.86</v>
      </c>
      <c r="C79" s="147">
        <f>[1]EVERYTHING!$C$78</f>
        <v>3135283.86</v>
      </c>
      <c r="D79" s="147"/>
      <c r="E79" s="147">
        <f t="shared" ref="E79:E80" si="29">C79-SUM(F79:K79)</f>
        <v>3135283.86</v>
      </c>
      <c r="F79" s="147"/>
      <c r="G79" s="147"/>
      <c r="H79" s="147"/>
      <c r="I79" s="147"/>
      <c r="J79" s="147"/>
      <c r="K79" s="147"/>
      <c r="L79" s="147"/>
      <c r="M79" s="147"/>
      <c r="N79" s="147"/>
      <c r="O79" s="147"/>
      <c r="P79" s="147"/>
      <c r="Q79" s="147"/>
      <c r="R79" s="550">
        <f>SUM(E79:Q79)</f>
        <v>3135283.86</v>
      </c>
      <c r="S79" s="147">
        <f>R79</f>
        <v>3135283.86</v>
      </c>
      <c r="T79" s="147"/>
      <c r="U79" s="143"/>
    </row>
    <row r="80" spans="1:21" s="144" customFormat="1">
      <c r="A80" s="304" t="s">
        <v>58</v>
      </c>
      <c r="B80" s="146">
        <f>SUM(C80:D80)</f>
        <v>200000</v>
      </c>
      <c r="C80" s="147">
        <f>[1]EVERYTHING!$C$89</f>
        <v>200000</v>
      </c>
      <c r="D80" s="147"/>
      <c r="E80" s="147">
        <f t="shared" si="29"/>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c r="A81" s="149" t="s">
        <v>1316</v>
      </c>
      <c r="B81" s="146">
        <f>SUM(C81:D81)</f>
        <v>3335283.86</v>
      </c>
      <c r="C81" s="543">
        <f>SUM(C79:C80)</f>
        <v>3335283.86</v>
      </c>
      <c r="D81" s="543">
        <f t="shared" ref="D81:T81" si="30">SUM(D79:D80)</f>
        <v>0</v>
      </c>
      <c r="E81" s="543">
        <f t="shared" si="30"/>
        <v>3335283.86</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3335283.86</v>
      </c>
      <c r="S81" s="543">
        <f t="shared" si="30"/>
        <v>3335283.86</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1">SUM(C83+D83)</f>
        <v>108337.91797855844</v>
      </c>
      <c r="C83" s="147">
        <f>[1]EVERYTHING!$C$80</f>
        <v>108337.91797855844</v>
      </c>
      <c r="D83" s="147"/>
      <c r="E83" s="147">
        <f t="shared" ref="E83:E95" si="32">C83-SUM(F83:K83)</f>
        <v>108337.91797855844</v>
      </c>
      <c r="F83" s="147"/>
      <c r="G83" s="147"/>
      <c r="H83" s="147"/>
      <c r="I83" s="147"/>
      <c r="J83" s="147"/>
      <c r="K83" s="147"/>
      <c r="L83" s="147"/>
      <c r="M83" s="147"/>
      <c r="N83" s="147"/>
      <c r="O83" s="147"/>
      <c r="P83" s="147"/>
      <c r="Q83" s="147"/>
      <c r="R83" s="550">
        <f t="shared" ref="R83:R95" si="33">SUM(E83:Q83)</f>
        <v>108337.91797855844</v>
      </c>
      <c r="S83" s="148"/>
      <c r="T83" s="148"/>
      <c r="U83" s="143"/>
    </row>
    <row r="84" spans="1:21" s="144" customFormat="1">
      <c r="A84" s="145" t="s">
        <v>777</v>
      </c>
      <c r="B84" s="146">
        <f t="shared" si="31"/>
        <v>190412</v>
      </c>
      <c r="C84" s="147">
        <f>[1]EVERYTHING!$C$83</f>
        <v>190412</v>
      </c>
      <c r="D84" s="147"/>
      <c r="E84" s="147">
        <f t="shared" si="32"/>
        <v>190412</v>
      </c>
      <c r="F84" s="147"/>
      <c r="G84" s="147"/>
      <c r="H84" s="147"/>
      <c r="I84" s="147"/>
      <c r="J84" s="147"/>
      <c r="K84" s="147"/>
      <c r="L84" s="147"/>
      <c r="M84" s="147"/>
      <c r="N84" s="147"/>
      <c r="O84" s="147"/>
      <c r="P84" s="147"/>
      <c r="Q84" s="147"/>
      <c r="R84" s="550">
        <f t="shared" si="33"/>
        <v>190412</v>
      </c>
      <c r="S84" s="147">
        <f>R84</f>
        <v>190412</v>
      </c>
      <c r="T84" s="147"/>
      <c r="U84" s="143"/>
    </row>
    <row r="85" spans="1:21" s="144" customFormat="1">
      <c r="A85" s="145" t="s">
        <v>778</v>
      </c>
      <c r="B85" s="146">
        <f t="shared" si="31"/>
        <v>2917058</v>
      </c>
      <c r="C85" s="147">
        <f>[1]EVERYTHING!$C$84</f>
        <v>2917058</v>
      </c>
      <c r="D85" s="147"/>
      <c r="E85" s="147">
        <f t="shared" si="32"/>
        <v>2917058</v>
      </c>
      <c r="F85" s="147"/>
      <c r="G85" s="147"/>
      <c r="H85" s="147"/>
      <c r="I85" s="147"/>
      <c r="J85" s="147"/>
      <c r="K85" s="147"/>
      <c r="L85" s="147"/>
      <c r="M85" s="147"/>
      <c r="N85" s="147"/>
      <c r="O85" s="147"/>
      <c r="P85" s="147"/>
      <c r="Q85" s="147"/>
      <c r="R85" s="550">
        <f t="shared" si="33"/>
        <v>2917058</v>
      </c>
      <c r="S85" s="147">
        <f>R85</f>
        <v>2917058</v>
      </c>
      <c r="T85" s="147"/>
      <c r="U85" s="143"/>
    </row>
    <row r="86" spans="1:21" s="144" customFormat="1">
      <c r="A86" s="145" t="s">
        <v>779</v>
      </c>
      <c r="B86" s="146">
        <f t="shared" si="31"/>
        <v>550000</v>
      </c>
      <c r="C86" s="147">
        <f>[1]EVERYTHING!$C$85</f>
        <v>550000</v>
      </c>
      <c r="D86" s="147"/>
      <c r="E86" s="147">
        <f t="shared" si="32"/>
        <v>550000</v>
      </c>
      <c r="F86" s="147"/>
      <c r="G86" s="147"/>
      <c r="H86" s="147"/>
      <c r="I86" s="147"/>
      <c r="J86" s="147"/>
      <c r="K86" s="147"/>
      <c r="L86" s="147"/>
      <c r="M86" s="147"/>
      <c r="N86" s="147"/>
      <c r="O86" s="147"/>
      <c r="P86" s="147"/>
      <c r="Q86" s="147"/>
      <c r="R86" s="550">
        <f t="shared" si="33"/>
        <v>550000</v>
      </c>
      <c r="S86" s="147">
        <f>R86</f>
        <v>550000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30000</v>
      </c>
      <c r="C88" s="147">
        <f>[1]EVERYTHING!$C$87</f>
        <v>30000</v>
      </c>
      <c r="D88" s="147"/>
      <c r="E88" s="147">
        <f t="shared" si="32"/>
        <v>30000</v>
      </c>
      <c r="F88" s="147"/>
      <c r="G88" s="147"/>
      <c r="H88" s="147"/>
      <c r="I88" s="147"/>
      <c r="J88" s="147"/>
      <c r="K88" s="147"/>
      <c r="L88" s="147"/>
      <c r="M88" s="147"/>
      <c r="N88" s="147"/>
      <c r="O88" s="147"/>
      <c r="P88" s="147"/>
      <c r="Q88" s="147"/>
      <c r="R88" s="550">
        <f t="shared" si="33"/>
        <v>30000</v>
      </c>
      <c r="S88" s="148"/>
      <c r="T88" s="148"/>
      <c r="U88" s="143"/>
    </row>
    <row r="89" spans="1:21" s="144" customFormat="1">
      <c r="A89" s="145" t="s">
        <v>782</v>
      </c>
      <c r="B89" s="146">
        <f t="shared" si="31"/>
        <v>30000</v>
      </c>
      <c r="C89" s="147">
        <f>[1]EVERYTHING!$C$88</f>
        <v>30000</v>
      </c>
      <c r="D89" s="147"/>
      <c r="E89" s="147">
        <f t="shared" si="32"/>
        <v>30000</v>
      </c>
      <c r="F89" s="147"/>
      <c r="G89" s="147"/>
      <c r="H89" s="147"/>
      <c r="I89" s="147"/>
      <c r="J89" s="147"/>
      <c r="K89" s="147"/>
      <c r="L89" s="147"/>
      <c r="M89" s="147"/>
      <c r="N89" s="147"/>
      <c r="O89" s="147"/>
      <c r="P89" s="147"/>
      <c r="Q89" s="147"/>
      <c r="R89" s="550">
        <f t="shared" si="33"/>
        <v>30000</v>
      </c>
      <c r="S89" s="147">
        <f>R89</f>
        <v>30000</v>
      </c>
      <c r="T89" s="147"/>
      <c r="U89" s="143"/>
    </row>
    <row r="90" spans="1:21" s="144" customFormat="1">
      <c r="A90" s="145" t="s">
        <v>783</v>
      </c>
      <c r="B90" s="146">
        <f t="shared" si="31"/>
        <v>17000</v>
      </c>
      <c r="C90" s="147">
        <f>[1]EVERYTHING!$C$86</f>
        <v>17000</v>
      </c>
      <c r="D90" s="147"/>
      <c r="E90" s="147">
        <f t="shared" si="32"/>
        <v>17000</v>
      </c>
      <c r="F90" s="147"/>
      <c r="G90" s="147"/>
      <c r="H90" s="147"/>
      <c r="I90" s="147"/>
      <c r="J90" s="147"/>
      <c r="K90" s="147"/>
      <c r="L90" s="147"/>
      <c r="M90" s="147"/>
      <c r="N90" s="147"/>
      <c r="O90" s="147"/>
      <c r="P90" s="147"/>
      <c r="Q90" s="147"/>
      <c r="R90" s="550">
        <f t="shared" si="33"/>
        <v>17000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10000</v>
      </c>
      <c r="C92" s="147">
        <f>[1]EVERYTHING!$C$77</f>
        <v>10000</v>
      </c>
      <c r="D92" s="147"/>
      <c r="E92" s="147">
        <f t="shared" si="32"/>
        <v>10000</v>
      </c>
      <c r="F92" s="147"/>
      <c r="G92" s="147"/>
      <c r="H92" s="147"/>
      <c r="I92" s="147"/>
      <c r="J92" s="147"/>
      <c r="K92" s="147"/>
      <c r="L92" s="147"/>
      <c r="M92" s="147"/>
      <c r="N92" s="147"/>
      <c r="O92" s="147"/>
      <c r="P92" s="147"/>
      <c r="Q92" s="147"/>
      <c r="R92" s="550">
        <f t="shared" si="33"/>
        <v>10000</v>
      </c>
      <c r="S92" s="147">
        <f>R92</f>
        <v>10000</v>
      </c>
      <c r="T92" s="147"/>
      <c r="U92" s="143"/>
    </row>
    <row r="93" spans="1:21" s="144" customFormat="1">
      <c r="A93" s="1193" t="s">
        <v>2787</v>
      </c>
      <c r="B93" s="146">
        <f t="shared" si="31"/>
        <v>75000</v>
      </c>
      <c r="C93" s="147">
        <f>[1]EVERYTHING!$C$82</f>
        <v>75000</v>
      </c>
      <c r="D93" s="147"/>
      <c r="E93" s="147">
        <f t="shared" si="32"/>
        <v>75000</v>
      </c>
      <c r="F93" s="147"/>
      <c r="G93" s="147"/>
      <c r="H93" s="147"/>
      <c r="I93" s="147"/>
      <c r="J93" s="147"/>
      <c r="K93" s="147"/>
      <c r="L93" s="147"/>
      <c r="M93" s="147"/>
      <c r="N93" s="147"/>
      <c r="O93" s="147"/>
      <c r="P93" s="147"/>
      <c r="Q93" s="147"/>
      <c r="R93" s="550">
        <f t="shared" si="33"/>
        <v>75000</v>
      </c>
      <c r="S93" s="147">
        <f>R93</f>
        <v>75000</v>
      </c>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3927807.9179785587</v>
      </c>
      <c r="C96" s="146">
        <f t="shared" ref="C96:R96" si="34">SUM(C83:C95)</f>
        <v>3927807.9179785587</v>
      </c>
      <c r="D96" s="146">
        <f t="shared" si="34"/>
        <v>0</v>
      </c>
      <c r="E96" s="146">
        <f t="shared" si="34"/>
        <v>3927807.9179785587</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3927807.9179785587</v>
      </c>
      <c r="S96" s="150">
        <f>SUM(S84:S87,S89:S95)</f>
        <v>3772470</v>
      </c>
      <c r="T96" s="146">
        <f>SUM(T84:T87,T89:T95)</f>
        <v>0</v>
      </c>
      <c r="U96" s="143"/>
    </row>
    <row r="97" spans="1:21" s="144" customFormat="1">
      <c r="A97" s="149" t="s">
        <v>785</v>
      </c>
      <c r="B97" s="146">
        <f ca="1">SUM(C97:D97)</f>
        <v>72307741.537311003</v>
      </c>
      <c r="C97" s="146">
        <f t="shared" ref="C97:R97" ca="1" si="35">SUM(C63+C70+C77+C81+C96)</f>
        <v>72307741.537311003</v>
      </c>
      <c r="D97" s="146">
        <f t="shared" si="35"/>
        <v>0</v>
      </c>
      <c r="E97" s="146">
        <f t="shared" ca="1" si="35"/>
        <v>40957919.537311003</v>
      </c>
      <c r="F97" s="146">
        <f t="shared" si="35"/>
        <v>4594700</v>
      </c>
      <c r="G97" s="146">
        <f t="shared" si="35"/>
        <v>19142450</v>
      </c>
      <c r="H97" s="146">
        <f t="shared" si="35"/>
        <v>6612672</v>
      </c>
      <c r="I97" s="146">
        <f t="shared" si="35"/>
        <v>0</v>
      </c>
      <c r="J97" s="146">
        <f t="shared" si="35"/>
        <v>1000000</v>
      </c>
      <c r="K97" s="146">
        <f t="shared" si="35"/>
        <v>0</v>
      </c>
      <c r="L97" s="146">
        <f t="shared" si="35"/>
        <v>0</v>
      </c>
      <c r="M97" s="146">
        <f t="shared" si="35"/>
        <v>0</v>
      </c>
      <c r="N97" s="146">
        <f t="shared" si="35"/>
        <v>0</v>
      </c>
      <c r="O97" s="146">
        <f t="shared" si="35"/>
        <v>0</v>
      </c>
      <c r="P97" s="146">
        <f t="shared" si="35"/>
        <v>0</v>
      </c>
      <c r="Q97" s="146">
        <f t="shared" si="35"/>
        <v>0</v>
      </c>
      <c r="R97" s="146">
        <f t="shared" ca="1" si="35"/>
        <v>72307741.537311003</v>
      </c>
      <c r="S97" s="146">
        <f ca="1">SUM(S63+S70+S81+S96)</f>
        <v>66726765.343381613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4500000</v>
      </c>
      <c r="C99" s="1014">
        <f>[1]EVERYTHING!$C$93</f>
        <v>4500000</v>
      </c>
      <c r="D99" s="1014"/>
      <c r="E99" s="1014">
        <f t="shared" ref="E99:E103" si="36">C99-SUM(F99:K99)</f>
        <v>3200000</v>
      </c>
      <c r="F99" s="147"/>
      <c r="G99" s="147"/>
      <c r="H99" s="147"/>
      <c r="I99" s="147">
        <f>Application!AO630</f>
        <v>1300000</v>
      </c>
      <c r="J99" s="147"/>
      <c r="K99" s="147"/>
      <c r="L99" s="147"/>
      <c r="M99" s="147"/>
      <c r="N99" s="147"/>
      <c r="O99" s="147"/>
      <c r="P99" s="147"/>
      <c r="Q99" s="147"/>
      <c r="R99" s="550">
        <f>SUM(E99:Q99)</f>
        <v>4500000</v>
      </c>
      <c r="S99" s="147">
        <f>R99</f>
        <v>4500000</v>
      </c>
      <c r="T99" s="147"/>
      <c r="U99" s="143"/>
    </row>
    <row r="100" spans="1:21" s="144" customFormat="1">
      <c r="A100" s="304" t="s">
        <v>1760</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f t="shared" si="36"/>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6"/>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4500000</v>
      </c>
      <c r="C104" s="146">
        <f>SUM(C99:C103)</f>
        <v>4500000</v>
      </c>
      <c r="D104" s="146">
        <f t="shared" ref="D104:T104" si="37">SUM(D99:D103)</f>
        <v>0</v>
      </c>
      <c r="E104" s="146">
        <f t="shared" si="37"/>
        <v>3200000</v>
      </c>
      <c r="F104" s="146">
        <f t="shared" si="37"/>
        <v>0</v>
      </c>
      <c r="G104" s="146">
        <f t="shared" si="37"/>
        <v>0</v>
      </c>
      <c r="H104" s="146">
        <f t="shared" si="37"/>
        <v>0</v>
      </c>
      <c r="I104" s="146">
        <f t="shared" si="37"/>
        <v>1300000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0">
        <f t="shared" si="37"/>
        <v>4500000</v>
      </c>
      <c r="S104" s="150">
        <f t="shared" si="37"/>
        <v>4500000</v>
      </c>
      <c r="T104" s="150">
        <f t="shared" si="37"/>
        <v>0</v>
      </c>
      <c r="U104" s="143"/>
    </row>
    <row r="105" spans="1:21" s="144" customFormat="1">
      <c r="A105" s="149" t="s">
        <v>790</v>
      </c>
      <c r="B105" s="150">
        <f ca="1">SUM(C105:D105)</f>
        <v>76807741.537311003</v>
      </c>
      <c r="C105" s="150">
        <f t="shared" ref="C105:R105" ca="1" si="38">SUM(C97+C104)</f>
        <v>76807741.537311003</v>
      </c>
      <c r="D105" s="150">
        <f t="shared" si="38"/>
        <v>0</v>
      </c>
      <c r="E105" s="150">
        <f t="shared" ca="1" si="38"/>
        <v>44157919.537311003</v>
      </c>
      <c r="F105" s="150">
        <f t="shared" si="38"/>
        <v>4594700</v>
      </c>
      <c r="G105" s="150">
        <f t="shared" si="38"/>
        <v>19142450</v>
      </c>
      <c r="H105" s="150">
        <f t="shared" si="38"/>
        <v>6612672</v>
      </c>
      <c r="I105" s="150">
        <f t="shared" si="38"/>
        <v>1300000</v>
      </c>
      <c r="J105" s="150">
        <f t="shared" si="38"/>
        <v>1000000</v>
      </c>
      <c r="K105" s="150">
        <f t="shared" si="38"/>
        <v>0</v>
      </c>
      <c r="L105" s="150">
        <f t="shared" si="38"/>
        <v>0</v>
      </c>
      <c r="M105" s="150">
        <f t="shared" si="38"/>
        <v>0</v>
      </c>
      <c r="N105" s="150">
        <f t="shared" si="38"/>
        <v>0</v>
      </c>
      <c r="O105" s="150">
        <f t="shared" si="38"/>
        <v>0</v>
      </c>
      <c r="P105" s="150">
        <f t="shared" si="38"/>
        <v>0</v>
      </c>
      <c r="Q105" s="150">
        <f t="shared" si="38"/>
        <v>0</v>
      </c>
      <c r="R105" s="370">
        <f t="shared" ca="1" si="38"/>
        <v>76807741.537311003</v>
      </c>
      <c r="S105" s="150">
        <f ca="1">S97+S104</f>
        <v>71226765.343381613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71226765.343381613</v>
      </c>
      <c r="T107" s="150">
        <f>T105+T106</f>
        <v>0</v>
      </c>
    </row>
    <row r="108" spans="1:21" s="201" customFormat="1">
      <c r="A108" s="162" t="s">
        <v>892</v>
      </c>
      <c r="B108" s="157"/>
      <c r="C108" s="157"/>
      <c r="D108" s="157"/>
      <c r="E108" s="323">
        <f>Application!AO640</f>
        <v>44157919.537311003</v>
      </c>
      <c r="F108" s="323">
        <f>Application!AO627</f>
        <v>4594700</v>
      </c>
      <c r="G108" s="323">
        <f>Application!AO628</f>
        <v>19142450</v>
      </c>
      <c r="H108" s="323">
        <f>Application!AO629</f>
        <v>6612672</v>
      </c>
      <c r="I108" s="323">
        <f>Application!AO630</f>
        <v>1300000</v>
      </c>
      <c r="J108" s="323">
        <f>Application!AO631</f>
        <v>1000000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1017</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1018</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7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75">
      <c r="A139" s="1881" t="s">
        <v>1029</v>
      </c>
      <c r="B139" s="1881"/>
      <c r="C139" s="188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1335</v>
      </c>
      <c r="B1" s="1888"/>
      <c r="C1" s="1888"/>
      <c r="D1" s="1888"/>
      <c r="E1" s="1888"/>
      <c r="F1" s="1888"/>
      <c r="G1" s="1888"/>
      <c r="H1" s="1888"/>
      <c r="I1" s="1888"/>
      <c r="J1" s="188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2100000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2145000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47200</v>
      </c>
      <c r="C10" s="393"/>
      <c r="D10" s="393"/>
      <c r="E10" s="392">
        <f>'Sources and Uses Budget'!S10</f>
        <v>47200</v>
      </c>
      <c r="F10" s="393"/>
      <c r="G10" s="393"/>
      <c r="H10" s="392">
        <f>'Sources and Uses Budget'!T10</f>
        <v>0</v>
      </c>
      <c r="I10" s="393"/>
      <c r="J10" s="393"/>
      <c r="K10" s="390"/>
    </row>
    <row r="11" spans="1:11" s="391" customFormat="1">
      <c r="A11" s="396" t="s">
        <v>605</v>
      </c>
      <c r="B11" s="392">
        <f>'Sources and Uses Budget'!C11</f>
        <v>47200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2192200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5780995</v>
      </c>
      <c r="C29" s="393"/>
      <c r="D29" s="393"/>
      <c r="E29" s="392">
        <f>'Sources and Uses Budget'!S29</f>
        <v>5780995</v>
      </c>
      <c r="F29" s="393"/>
      <c r="G29" s="393"/>
      <c r="H29" s="392">
        <f>'Sources and Uses Budget'!T29</f>
        <v>0</v>
      </c>
      <c r="I29" s="393"/>
      <c r="J29" s="393"/>
      <c r="K29" s="390"/>
    </row>
    <row r="30" spans="1:11" s="391" customFormat="1">
      <c r="A30" s="145" t="s">
        <v>608</v>
      </c>
      <c r="B30" s="392">
        <f ca="1">'Sources and Uses Budget'!C30</f>
        <v>32228460</v>
      </c>
      <c r="C30" s="393"/>
      <c r="D30" s="393"/>
      <c r="E30" s="392">
        <f ca="1">'Sources and Uses Budget'!S30</f>
        <v>32228460</v>
      </c>
      <c r="F30" s="393"/>
      <c r="G30" s="393"/>
      <c r="H30" s="392">
        <f>'Sources and Uses Budget'!T30</f>
        <v>0</v>
      </c>
      <c r="I30" s="393"/>
      <c r="J30" s="393"/>
      <c r="K30" s="390"/>
    </row>
    <row r="31" spans="1:11" s="391" customFormat="1">
      <c r="A31" s="145" t="s">
        <v>609</v>
      </c>
      <c r="B31" s="392">
        <f>'Sources and Uses Budget'!C31</f>
        <v>2051320</v>
      </c>
      <c r="C31" s="393"/>
      <c r="D31" s="393"/>
      <c r="E31" s="392">
        <f>'Sources and Uses Budget'!S31</f>
        <v>2051320</v>
      </c>
      <c r="F31" s="393"/>
      <c r="G31" s="393"/>
      <c r="H31" s="392">
        <f>'Sources and Uses Budget'!T31</f>
        <v>0</v>
      </c>
      <c r="I31" s="393"/>
      <c r="J31" s="393"/>
      <c r="K31" s="390"/>
    </row>
    <row r="32" spans="1:11" s="391" customFormat="1">
      <c r="A32" s="145" t="s">
        <v>137</v>
      </c>
      <c r="B32" s="392">
        <f>'Sources and Uses Budget'!C32</f>
        <v>949811</v>
      </c>
      <c r="C32" s="393"/>
      <c r="D32" s="393"/>
      <c r="E32" s="392">
        <f>'Sources and Uses Budget'!S32</f>
        <v>949811</v>
      </c>
      <c r="F32" s="393"/>
      <c r="G32" s="393"/>
      <c r="H32" s="392">
        <f>'Sources and Uses Budget'!T32</f>
        <v>0</v>
      </c>
      <c r="I32" s="393"/>
      <c r="J32" s="393"/>
      <c r="K32" s="390"/>
    </row>
    <row r="33" spans="1:11" s="391" customFormat="1">
      <c r="A33" s="145" t="s">
        <v>138</v>
      </c>
      <c r="B33" s="392">
        <f>'Sources and Uses Budget'!C33</f>
        <v>2394000</v>
      </c>
      <c r="C33" s="393"/>
      <c r="D33" s="393"/>
      <c r="E33" s="392">
        <f>'Sources and Uses Budget'!S33</f>
        <v>2394000</v>
      </c>
      <c r="F33" s="393"/>
      <c r="G33" s="393"/>
      <c r="H33" s="392">
        <f>'Sources and Uses Budget'!T33</f>
        <v>0</v>
      </c>
      <c r="I33" s="393"/>
      <c r="J33" s="393"/>
      <c r="K33" s="390"/>
    </row>
    <row r="34" spans="1:11" s="391" customFormat="1">
      <c r="A34" s="145" t="s">
        <v>139</v>
      </c>
      <c r="B34" s="392">
        <f ca="1">'Sources and Uses Budget'!C34</f>
        <v>7601891</v>
      </c>
      <c r="C34" s="393"/>
      <c r="D34" s="393"/>
      <c r="E34" s="392">
        <f ca="1">'Sources and Uses Budget'!S34</f>
        <v>7601891</v>
      </c>
      <c r="F34" s="393"/>
      <c r="G34" s="393"/>
      <c r="H34" s="392">
        <f>'Sources and Uses Budget'!T34</f>
        <v>0</v>
      </c>
      <c r="I34" s="393"/>
      <c r="J34" s="393"/>
      <c r="K34" s="390"/>
    </row>
    <row r="35" spans="1:11" s="391" customFormat="1">
      <c r="A35" s="145" t="s">
        <v>140</v>
      </c>
      <c r="B35" s="392">
        <f>'Sources and Uses Budget'!C35</f>
        <v>466000</v>
      </c>
      <c r="C35" s="393"/>
      <c r="D35" s="393"/>
      <c r="E35" s="392">
        <f>'Sources and Uses Budget'!S35</f>
        <v>466000</v>
      </c>
      <c r="F35" s="393"/>
      <c r="G35" s="393"/>
      <c r="H35" s="392">
        <f>'Sources and Uses Budget'!T35</f>
        <v>0</v>
      </c>
      <c r="I35" s="393"/>
      <c r="J35" s="393"/>
      <c r="K35" s="390"/>
    </row>
    <row r="36" spans="1:11" s="391" customFormat="1">
      <c r="A36" s="542" t="s">
        <v>1754</v>
      </c>
      <c r="B36" s="392">
        <f>'Sources and Uses Budget'!C36</f>
        <v>150000</v>
      </c>
      <c r="C36" s="393"/>
      <c r="D36" s="393"/>
      <c r="E36" s="392">
        <f>'Sources and Uses Budget'!S36</f>
        <v>150000</v>
      </c>
      <c r="F36" s="393"/>
      <c r="G36" s="393"/>
      <c r="H36" s="392">
        <f>'Sources and Uses Budget'!T36</f>
        <v>0</v>
      </c>
      <c r="I36" s="393"/>
      <c r="J36" s="393"/>
      <c r="K36" s="390"/>
    </row>
    <row r="37" spans="1:11" s="391" customFormat="1">
      <c r="A37" s="395" t="str">
        <f>'Sources and Uses Budget'!$A37</f>
        <v>pv system</v>
      </c>
      <c r="B37" s="392">
        <f>'Sources and Uses Budget'!C37</f>
        <v>782254</v>
      </c>
      <c r="C37" s="393"/>
      <c r="D37" s="393"/>
      <c r="E37" s="392">
        <f>'Sources and Uses Budget'!S37</f>
        <v>782254</v>
      </c>
      <c r="F37" s="393"/>
      <c r="G37" s="393"/>
      <c r="H37" s="392">
        <f>'Sources and Uses Budget'!T37</f>
        <v>0</v>
      </c>
      <c r="I37" s="393"/>
      <c r="J37" s="393"/>
      <c r="K37" s="390"/>
    </row>
    <row r="38" spans="1:11" s="391" customFormat="1">
      <c r="A38" s="396" t="s">
        <v>143</v>
      </c>
      <c r="B38" s="392">
        <f ca="1">'Sources and Uses Budget'!C38</f>
        <v>52404731</v>
      </c>
      <c r="C38" s="392">
        <f>SUM(C29:C37)</f>
        <v>0</v>
      </c>
      <c r="D38" s="392">
        <f>SUM(D29:D37)</f>
        <v>0</v>
      </c>
      <c r="E38" s="392">
        <f ca="1">'Sources and Uses Budget'!S38</f>
        <v>52404731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723000</v>
      </c>
      <c r="C40" s="393"/>
      <c r="D40" s="393"/>
      <c r="E40" s="392">
        <f>'Sources and Uses Budget'!S40</f>
        <v>723000</v>
      </c>
      <c r="F40" s="393"/>
      <c r="G40" s="393"/>
      <c r="H40" s="392">
        <f>'Sources and Uses Budget'!T40</f>
        <v>0</v>
      </c>
      <c r="I40" s="393"/>
      <c r="J40" s="393"/>
      <c r="K40" s="390"/>
    </row>
    <row r="41" spans="1:11" s="391" customFormat="1">
      <c r="A41" s="395" t="s">
        <v>146</v>
      </c>
      <c r="B41" s="392">
        <f>'Sources and Uses Budget'!C41</f>
        <v>270000</v>
      </c>
      <c r="C41" s="393"/>
      <c r="D41" s="393"/>
      <c r="E41" s="392">
        <f>'Sources and Uses Budget'!S41</f>
        <v>270000</v>
      </c>
      <c r="F41" s="393"/>
      <c r="G41" s="393"/>
      <c r="H41" s="392">
        <f>'Sources and Uses Budget'!T41</f>
        <v>0</v>
      </c>
      <c r="I41" s="393"/>
      <c r="J41" s="393"/>
      <c r="K41" s="390"/>
    </row>
    <row r="42" spans="1:11" s="391" customFormat="1">
      <c r="A42" s="396" t="s">
        <v>147</v>
      </c>
      <c r="B42" s="392">
        <f>'Sources and Uses Budget'!C42</f>
        <v>993000</v>
      </c>
      <c r="C42" s="392">
        <f>SUM(C39:C41)</f>
        <v>0</v>
      </c>
      <c r="D42" s="392">
        <f>SUM(D39:D41)</f>
        <v>0</v>
      </c>
      <c r="E42" s="392">
        <f>'Sources and Uses Budget'!S42</f>
        <v>993000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505000</v>
      </c>
      <c r="C43" s="393"/>
      <c r="D43" s="393"/>
      <c r="E43" s="392">
        <f>'Sources and Uses Budget'!S43</f>
        <v>505000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6497169.1280686092</v>
      </c>
      <c r="C45" s="393"/>
      <c r="D45" s="393"/>
      <c r="E45" s="392">
        <f>'Sources and Uses Budget'!S45</f>
        <v>4204050.612279688</v>
      </c>
      <c r="F45" s="393"/>
      <c r="G45" s="393"/>
      <c r="H45" s="392">
        <f>'Sources and Uses Budget'!T45</f>
        <v>0</v>
      </c>
      <c r="I45" s="393"/>
      <c r="J45" s="393"/>
      <c r="K45" s="390"/>
    </row>
    <row r="46" spans="1:11" s="391" customFormat="1">
      <c r="A46" s="395" t="s">
        <v>151</v>
      </c>
      <c r="B46" s="392">
        <f>'Sources and Uses Budget'!C46</f>
        <v>486401.28263561428</v>
      </c>
      <c r="C46" s="393"/>
      <c r="D46" s="393"/>
      <c r="E46" s="392">
        <f>'Sources and Uses Budget'!S46</f>
        <v>374154.83279662638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197674.44979689154</v>
      </c>
      <c r="C49" s="393"/>
      <c r="D49" s="393"/>
      <c r="E49" s="392">
        <f>'Sources and Uses Budget'!S49</f>
        <v>152057.26907453194</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61538.461538461539</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579587</v>
      </c>
      <c r="C52" s="393"/>
      <c r="D52" s="393"/>
      <c r="E52" s="392">
        <f>'Sources and Uses Budget'!S52</f>
        <v>579587</v>
      </c>
      <c r="F52" s="393"/>
      <c r="G52" s="393"/>
      <c r="H52" s="392">
        <f>'Sources and Uses Budget'!T52</f>
        <v>0</v>
      </c>
      <c r="I52" s="393"/>
      <c r="J52" s="393"/>
      <c r="K52" s="390"/>
    </row>
    <row r="53" spans="1:11" s="391" customFormat="1">
      <c r="A53" s="395" t="str">
        <f>'Sources and Uses Budget'!$A53</f>
        <v>predev loan costs</v>
      </c>
      <c r="B53" s="392">
        <f>'Sources and Uses Budget'!C53</f>
        <v>180000</v>
      </c>
      <c r="C53" s="393"/>
      <c r="D53" s="393"/>
      <c r="E53" s="392">
        <f>'Sources and Uses Budget'!S53</f>
        <v>180000</v>
      </c>
      <c r="F53" s="393"/>
      <c r="G53" s="393"/>
      <c r="H53" s="392">
        <f>'Sources and Uses Budget'!T53</f>
        <v>0</v>
      </c>
      <c r="I53" s="393"/>
      <c r="J53" s="393"/>
      <c r="K53" s="390"/>
    </row>
    <row r="54" spans="1:11" s="400" customFormat="1">
      <c r="A54" s="396" t="s">
        <v>157</v>
      </c>
      <c r="B54" s="392">
        <f>'Sources and Uses Budget'!C54</f>
        <v>8030831.8605011152</v>
      </c>
      <c r="C54" s="398">
        <f>SUM(C45:C53)</f>
        <v>0</v>
      </c>
      <c r="D54" s="398">
        <f>SUM(D45:D53)</f>
        <v>0</v>
      </c>
      <c r="E54" s="392">
        <f>'Sources and Uses Budget'!S54</f>
        <v>5561388.1756893089</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55947</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loan legal</v>
      </c>
      <c r="B61" s="392">
        <f>'Sources and Uses Budget'!C61</f>
        <v>20000</v>
      </c>
      <c r="C61" s="393"/>
      <c r="D61" s="393"/>
      <c r="E61" s="394"/>
      <c r="F61" s="394"/>
      <c r="G61" s="394"/>
      <c r="H61" s="394"/>
      <c r="I61" s="394"/>
      <c r="J61" s="394"/>
      <c r="K61" s="390"/>
    </row>
    <row r="62" spans="1:11" s="391" customFormat="1" ht="13.7" customHeight="1">
      <c r="A62" s="396" t="s">
        <v>302</v>
      </c>
      <c r="B62" s="392">
        <f>'Sources and Uses Budget'!C62</f>
        <v>95947</v>
      </c>
      <c r="C62" s="392">
        <f>SUM(C56:C61)</f>
        <v>0</v>
      </c>
      <c r="D62" s="392">
        <f>SUM(D56:D61)</f>
        <v>0</v>
      </c>
      <c r="E62" s="394"/>
      <c r="F62" s="394"/>
      <c r="G62" s="394"/>
      <c r="H62" s="394"/>
      <c r="I62" s="394"/>
      <c r="J62" s="394"/>
      <c r="K62" s="390"/>
    </row>
    <row r="63" spans="1:11" s="391" customFormat="1">
      <c r="A63" s="401" t="s">
        <v>303</v>
      </c>
      <c r="B63" s="392">
        <f ca="1">'Sources and Uses Budget'!C63</f>
        <v>64221709.860501118</v>
      </c>
      <c r="C63" s="392">
        <f>SUM(C8+C11+C13+C14+C15+C26+C27+C38+C42+C43+C54+C62)</f>
        <v>0</v>
      </c>
      <c r="D63" s="392">
        <f>SUM(D8+D11+D13+D14+D15+D26+D27+D38+D42+D43+D54+D62)</f>
        <v>0</v>
      </c>
      <c r="E63" s="392">
        <f ca="1">'Sources and Uses Budget'!S63</f>
        <v>59511319.17568931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46153.846153846156</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80000</v>
      </c>
      <c r="C69" s="393"/>
      <c r="D69" s="393"/>
      <c r="E69" s="392">
        <f>'Sources and Uses Budget'!S69</f>
        <v>61538.461538461539</v>
      </c>
      <c r="F69" s="393"/>
      <c r="G69" s="393"/>
      <c r="H69" s="392">
        <f>'Sources and Uses Budget'!T69</f>
        <v>0</v>
      </c>
      <c r="I69" s="393"/>
      <c r="J69" s="393"/>
      <c r="K69" s="390"/>
    </row>
    <row r="70" spans="1:11" s="391" customFormat="1">
      <c r="A70" s="396" t="s">
        <v>610</v>
      </c>
      <c r="B70" s="392">
        <f>'Sources and Uses Budget'!C70</f>
        <v>140000</v>
      </c>
      <c r="C70" s="392">
        <f>SUM(C64:C69)</f>
        <v>0</v>
      </c>
      <c r="D70" s="392">
        <f>SUM(D64:D69)</f>
        <v>0</v>
      </c>
      <c r="E70" s="392">
        <f>'Sources and Uses Budget'!S70</f>
        <v>107692.30769230769</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582706.89883132791</v>
      </c>
      <c r="C75" s="393"/>
      <c r="D75" s="393"/>
      <c r="E75" s="394"/>
      <c r="F75" s="394"/>
      <c r="G75" s="394"/>
      <c r="H75" s="394"/>
      <c r="I75" s="394"/>
      <c r="J75" s="394"/>
      <c r="K75" s="390"/>
    </row>
    <row r="76" spans="1:11" s="391" customFormat="1">
      <c r="A76" s="395" t="str">
        <f>'Sources and Uses Budget'!$A76</f>
        <v>HCD pooled reserve fee</v>
      </c>
      <c r="B76" s="392">
        <f>'Sources and Uses Budget'!C76</f>
        <v>100233</v>
      </c>
      <c r="C76" s="393"/>
      <c r="D76" s="393"/>
      <c r="E76" s="394"/>
      <c r="F76" s="394"/>
      <c r="G76" s="394"/>
      <c r="H76" s="394"/>
      <c r="I76" s="394"/>
      <c r="J76" s="394"/>
      <c r="K76" s="390"/>
    </row>
    <row r="77" spans="1:11" s="391" customFormat="1">
      <c r="A77" s="396" t="s">
        <v>615</v>
      </c>
      <c r="B77" s="392">
        <f>'Sources and Uses Budget'!C77</f>
        <v>682939.89883132791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3135283.86</v>
      </c>
      <c r="C79" s="393"/>
      <c r="D79" s="393"/>
      <c r="E79" s="392">
        <f>'Sources and Uses Budget'!S79</f>
        <v>3135283.86</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1316</v>
      </c>
      <c r="B81" s="392">
        <f>'Sources and Uses Budget'!C81</f>
        <v>3335283.86</v>
      </c>
      <c r="C81" s="392">
        <f>SUM(C79:C80)</f>
        <v>0</v>
      </c>
      <c r="D81" s="392">
        <f>SUM(D79:D80)</f>
        <v>0</v>
      </c>
      <c r="E81" s="392">
        <f>'Sources and Uses Budget'!S81</f>
        <v>3335283.86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108337.91797855844</v>
      </c>
      <c r="C83" s="393"/>
      <c r="D83" s="393"/>
      <c r="E83" s="394"/>
      <c r="F83" s="394"/>
      <c r="G83" s="394"/>
      <c r="H83" s="394"/>
      <c r="I83" s="394"/>
      <c r="J83" s="394"/>
      <c r="K83" s="390"/>
    </row>
    <row r="84" spans="1:11" s="391" customFormat="1">
      <c r="A84" s="145" t="s">
        <v>777</v>
      </c>
      <c r="B84" s="392">
        <f>'Sources and Uses Budget'!C84</f>
        <v>190412</v>
      </c>
      <c r="C84" s="393"/>
      <c r="D84" s="393"/>
      <c r="E84" s="392">
        <f>'Sources and Uses Budget'!S84</f>
        <v>190412</v>
      </c>
      <c r="F84" s="393"/>
      <c r="G84" s="393"/>
      <c r="H84" s="392">
        <f>'Sources and Uses Budget'!T84</f>
        <v>0</v>
      </c>
      <c r="I84" s="393"/>
      <c r="J84" s="393"/>
      <c r="K84" s="390"/>
    </row>
    <row r="85" spans="1:11" s="391" customFormat="1">
      <c r="A85" s="145" t="s">
        <v>778</v>
      </c>
      <c r="B85" s="392">
        <f>'Sources and Uses Budget'!C85</f>
        <v>2917058</v>
      </c>
      <c r="C85" s="393"/>
      <c r="D85" s="393"/>
      <c r="E85" s="392">
        <f>'Sources and Uses Budget'!S85</f>
        <v>2917058</v>
      </c>
      <c r="F85" s="393"/>
      <c r="G85" s="393"/>
      <c r="H85" s="392">
        <f>'Sources and Uses Budget'!T85</f>
        <v>0</v>
      </c>
      <c r="I85" s="393"/>
      <c r="J85" s="393"/>
      <c r="K85" s="390"/>
    </row>
    <row r="86" spans="1:11" s="391" customFormat="1">
      <c r="A86" s="145" t="s">
        <v>779</v>
      </c>
      <c r="B86" s="392">
        <f>'Sources and Uses Budget'!C86</f>
        <v>550000</v>
      </c>
      <c r="C86" s="393"/>
      <c r="D86" s="393"/>
      <c r="E86" s="392">
        <f>'Sources and Uses Budget'!S86</f>
        <v>550000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17000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prevailing wage monitoring</v>
      </c>
      <c r="B93" s="392">
        <f>'Sources and Uses Budget'!C93</f>
        <v>75000</v>
      </c>
      <c r="C93" s="393"/>
      <c r="D93" s="393"/>
      <c r="E93" s="392">
        <f>'Sources and Uses Budget'!S93</f>
        <v>75000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3927807.9179785587</v>
      </c>
      <c r="C96" s="392">
        <f>SUM(C83:C95)</f>
        <v>0</v>
      </c>
      <c r="D96" s="392">
        <f>SUM(D83:D95)</f>
        <v>0</v>
      </c>
      <c r="E96" s="392">
        <f>'Sources and Uses Budget'!S96</f>
        <v>3772470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72307741.537311003</v>
      </c>
      <c r="C97" s="392">
        <f>SUM(C63+C70+C77+C81+C96)</f>
        <v>0</v>
      </c>
      <c r="D97" s="392">
        <f>SUM(D63+D70+D77+D81+D96)</f>
        <v>0</v>
      </c>
      <c r="E97" s="392">
        <f ca="1">'Sources and Uses Budget'!S97</f>
        <v>66726765.343381613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4500000</v>
      </c>
      <c r="C99" s="393"/>
      <c r="D99" s="393"/>
      <c r="E99" s="392">
        <f>'Sources and Uses Budget'!S99</f>
        <v>4500000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4500000</v>
      </c>
      <c r="C104" s="392">
        <f>SUM(C99:C103)</f>
        <v>0</v>
      </c>
      <c r="D104" s="392">
        <f>SUM(D99:D103)</f>
        <v>0</v>
      </c>
      <c r="E104" s="392">
        <f>'Sources and Uses Budget'!S104</f>
        <v>4500000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76807741.537311003</v>
      </c>
      <c r="C105" s="398">
        <f>SUM(C97+C104)</f>
        <v>0</v>
      </c>
      <c r="D105" s="398">
        <f>SUM(D97+D104)</f>
        <v>0</v>
      </c>
      <c r="E105" s="392">
        <f ca="1">'Sources and Uses Budget'!S105</f>
        <v>71226765.343381613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71226765.343381613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8" workbookViewId="0">
      <selection activeCell="T217" sqref="T217:Y21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2" t="s">
        <v>1412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1417</v>
      </c>
      <c r="AF7" s="1906"/>
      <c r="AG7" s="1906"/>
      <c r="AH7" s="1906"/>
      <c r="AI7" s="1906"/>
      <c r="AJ7" s="1906"/>
      <c r="AK7" s="190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600</v>
      </c>
      <c r="C13" s="1896"/>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600</v>
      </c>
      <c r="C16" s="1896"/>
      <c r="D16" s="581"/>
      <c r="E16" s="1907" t="s">
        <v>1419</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1420</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600</v>
      </c>
      <c r="C22" s="1896"/>
      <c r="D22" s="581"/>
      <c r="E22" s="1929" t="s">
        <v>1422</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1420</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600</v>
      </c>
      <c r="C25" s="1896"/>
      <c r="D25" s="581"/>
      <c r="E25" s="1897" t="s">
        <v>2349</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1420</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6" t="s">
        <v>600</v>
      </c>
      <c r="C30" s="1896"/>
      <c r="D30" s="581"/>
      <c r="E30" s="1929" t="s">
        <v>2321</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600</v>
      </c>
      <c r="C33" s="1896"/>
      <c r="D33" s="581"/>
      <c r="E33" s="1897" t="s">
        <v>2322</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600</v>
      </c>
      <c r="C39" s="1896"/>
      <c r="D39" s="1186"/>
      <c r="E39" s="1897" t="s">
        <v>2323</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600</v>
      </c>
      <c r="C46" s="1896"/>
      <c r="D46" s="574"/>
      <c r="E46" s="1897" t="s">
        <v>2328</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600</v>
      </c>
      <c r="C50" s="1896"/>
      <c r="D50" s="574"/>
      <c r="E50" s="1917" t="s">
        <v>2329</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600</v>
      </c>
      <c r="C52" s="1896"/>
      <c r="D52" s="574"/>
      <c r="E52" s="1897" t="s">
        <v>2330</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1426</v>
      </c>
      <c r="AF59" s="1906"/>
      <c r="AG59" s="1906"/>
      <c r="AH59" s="1906"/>
      <c r="AI59" s="1906"/>
      <c r="AJ59" s="1906"/>
      <c r="AK59" s="190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600</v>
      </c>
      <c r="C62" s="1896"/>
      <c r="D62" s="581" t="s">
        <v>1427</v>
      </c>
      <c r="E62" s="1907" t="s">
        <v>2331</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1428</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554</v>
      </c>
      <c r="C68" s="1896"/>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600</v>
      </c>
      <c r="F69" s="1896"/>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600</v>
      </c>
      <c r="F70" s="189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600</v>
      </c>
      <c r="F71" s="189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554</v>
      </c>
      <c r="F73" s="1896"/>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600</v>
      </c>
      <c r="C75" s="1896"/>
      <c r="D75" s="581" t="s">
        <v>1432</v>
      </c>
      <c r="E75" s="1897" t="s">
        <v>1931</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1417</v>
      </c>
      <c r="AF81" s="1906"/>
      <c r="AG81" s="1906"/>
      <c r="AH81" s="1906"/>
      <c r="AI81" s="1906"/>
      <c r="AJ81" s="1906"/>
      <c r="AK81" s="190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554</v>
      </c>
      <c r="C84" s="1896"/>
      <c r="D84" s="581" t="s">
        <v>1427</v>
      </c>
      <c r="E84" s="1907" t="s">
        <v>1437</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0.39797979797979793</v>
      </c>
      <c r="F87" s="1891"/>
      <c r="G87" s="1891"/>
      <c r="H87" s="189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0.19999999999999996</v>
      </c>
      <c r="F88" s="1893"/>
      <c r="G88" s="1893"/>
      <c r="H88" s="189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20</v>
      </c>
      <c r="F89" s="1921"/>
      <c r="G89" s="1921"/>
      <c r="H89" s="1921"/>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600</v>
      </c>
      <c r="C92" s="1896"/>
      <c r="D92" s="581" t="s">
        <v>1429</v>
      </c>
      <c r="E92" s="1907" t="s">
        <v>1916</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0.39797979797979793</v>
      </c>
      <c r="F97" s="1891"/>
      <c r="G97" s="1891"/>
      <c r="H97" s="189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0.23232323232323232</v>
      </c>
      <c r="F98" s="1891"/>
      <c r="G98" s="1891"/>
      <c r="H98" s="189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0.72727272727272729</v>
      </c>
      <c r="F99" s="1891"/>
      <c r="G99" s="1891"/>
      <c r="H99" s="189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6">
        <f>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1426</v>
      </c>
      <c r="AF106" s="1906"/>
      <c r="AG106" s="1906"/>
      <c r="AH106" s="1906"/>
      <c r="AI106" s="1906"/>
      <c r="AJ106" s="1906"/>
      <c r="AK106" s="1906"/>
      <c r="AL106" s="574"/>
      <c r="AM106" s="574"/>
      <c r="AN106" s="569"/>
      <c r="AO106" s="570" t="str">
        <f>Application!B718</f>
        <v>1 Bedroom</v>
      </c>
      <c r="AQ106" s="570">
        <f>Application!O718</f>
        <v>379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554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554</v>
      </c>
    </row>
    <row r="109" spans="1:49" s="570" customFormat="1" ht="12.75" customHeight="1">
      <c r="A109" s="574"/>
      <c r="B109" s="1896" t="s">
        <v>554</v>
      </c>
      <c r="C109" s="1896"/>
      <c r="D109" s="581" t="s">
        <v>1427</v>
      </c>
      <c r="E109" s="1907" t="s">
        <v>2050</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1 Bedroom</v>
      </c>
      <c r="AQ109" s="570">
        <f>Application!O721</f>
        <v>729</v>
      </c>
      <c r="AU109" s="570" t="s">
        <v>2032</v>
      </c>
      <c r="AV109" s="629" t="s">
        <v>2033</v>
      </c>
      <c r="AW109" s="570" t="s">
        <v>2034</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904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2 Bedrooms</v>
      </c>
      <c r="AQ111" s="570">
        <f>Application!O723</f>
        <v>451</v>
      </c>
      <c r="AU111" s="890" t="str">
        <f>J118</f>
        <v>1-bedroom</v>
      </c>
      <c r="AV111" s="570">
        <f t="array" ref="AV111">SUM(IF(Application!B718:F752="1 Bedroom",Application!G718:J752))</f>
        <v>31</v>
      </c>
      <c r="AW111" s="1046">
        <f>AV111/AV116</f>
        <v>0.31313131313131315</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2 Bedrooms</v>
      </c>
      <c r="AQ112" s="570">
        <f>Application!O724</f>
        <v>661</v>
      </c>
      <c r="AU112" s="890" t="str">
        <f>O118</f>
        <v>2-bedroom</v>
      </c>
      <c r="AV112" s="570">
        <f t="array" ref="AV112">SUM(IF(Application!B718:F752="2 Bedrooms",Application!G718:J752))</f>
        <v>34</v>
      </c>
      <c r="AW112" s="1046">
        <f>AV112/AV116</f>
        <v>0.34343434343434343</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2 Bedrooms</v>
      </c>
      <c r="AQ113" s="570">
        <f>Application!O725</f>
        <v>661</v>
      </c>
      <c r="AU113" s="890" t="str">
        <f>T118</f>
        <v>3-bedroom</v>
      </c>
      <c r="AV113" s="570">
        <f t="array" ref="AV113">SUM(IF(Application!B718:F752="3 Bedrooms",Application!G718:J752))</f>
        <v>26</v>
      </c>
      <c r="AW113" s="1046">
        <f>AV113/AV116</f>
        <v>0.26262626262626265</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2 Bedrooms</v>
      </c>
      <c r="AQ114" s="570">
        <f>Application!O726</f>
        <v>870</v>
      </c>
      <c r="AU114" s="890" t="str">
        <f>Y118</f>
        <v>4-bedroom</v>
      </c>
      <c r="AV114" s="570">
        <f t="array" ref="AV114">SUM(IF(Application!B718:F752="4 Bedrooms",Application!G718:J752))</f>
        <v>8</v>
      </c>
      <c r="AW114" s="1046">
        <f>AV114/AV116</f>
        <v>8.0808080808080815E-2</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2 Bedrooms</v>
      </c>
      <c r="AQ115" s="570">
        <f>Application!O727</f>
        <v>1080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3 Bedrooms</v>
      </c>
      <c r="AQ116" s="570">
        <f>Application!O728</f>
        <v>514</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514</v>
      </c>
    </row>
    <row r="118" spans="1:52" s="570" customFormat="1" ht="12.75" customHeight="1">
      <c r="A118" s="574"/>
      <c r="B118" s="573"/>
      <c r="C118" s="574"/>
      <c r="D118" s="574"/>
      <c r="E118" s="1890" t="s">
        <v>1701</v>
      </c>
      <c r="F118" s="1891"/>
      <c r="G118" s="1891"/>
      <c r="H118" s="1891"/>
      <c r="I118" s="611"/>
      <c r="J118" s="1891" t="s">
        <v>1745</v>
      </c>
      <c r="K118" s="1891"/>
      <c r="L118" s="1891"/>
      <c r="M118" s="1891"/>
      <c r="N118" s="611"/>
      <c r="O118" s="1891" t="s">
        <v>1746</v>
      </c>
      <c r="P118" s="1891"/>
      <c r="Q118" s="1891"/>
      <c r="R118" s="1891"/>
      <c r="S118" s="611"/>
      <c r="T118" s="1891" t="s">
        <v>1446</v>
      </c>
      <c r="U118" s="1891"/>
      <c r="V118" s="1891"/>
      <c r="W118" s="1891"/>
      <c r="X118" s="611"/>
      <c r="Y118" s="1891" t="s">
        <v>1747</v>
      </c>
      <c r="Z118" s="1891"/>
      <c r="AA118" s="1891"/>
      <c r="AB118" s="1891"/>
      <c r="AC118" s="611"/>
      <c r="AD118" s="1891" t="s">
        <v>1748</v>
      </c>
      <c r="AE118" s="1891"/>
      <c r="AF118" s="1891"/>
      <c r="AG118" s="1891"/>
      <c r="AH118" s="611"/>
      <c r="AI118" s="611"/>
      <c r="AJ118" s="613"/>
      <c r="AK118" s="574"/>
      <c r="AL118" s="574"/>
      <c r="AM118" s="574"/>
      <c r="AN118" s="569"/>
      <c r="AO118" s="570" t="str">
        <f>Application!B730</f>
        <v>3 Bedrooms</v>
      </c>
      <c r="AQ118" s="570">
        <f>Application!O730</f>
        <v>756</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756</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998</v>
      </c>
    </row>
    <row r="121" spans="1:52" s="570" customFormat="1" ht="12.75" customHeight="1">
      <c r="A121" s="574"/>
      <c r="B121" s="573"/>
      <c r="C121" s="574"/>
      <c r="D121" s="574"/>
      <c r="E121" s="1947"/>
      <c r="F121" s="1948"/>
      <c r="G121" s="1948"/>
      <c r="H121" s="1948"/>
      <c r="I121" s="898"/>
      <c r="J121" s="1948">
        <v>1200</v>
      </c>
      <c r="K121" s="1948"/>
      <c r="L121" s="1948"/>
      <c r="M121" s="1948"/>
      <c r="N121" s="898"/>
      <c r="O121" s="1948">
        <v>1500</v>
      </c>
      <c r="P121" s="1948"/>
      <c r="Q121" s="1948"/>
      <c r="R121" s="1948"/>
      <c r="S121" s="898"/>
      <c r="T121" s="1948">
        <v>1500</v>
      </c>
      <c r="U121" s="1948"/>
      <c r="V121" s="1948"/>
      <c r="W121" s="1948"/>
      <c r="X121" s="898"/>
      <c r="Y121" s="1948">
        <v>1500</v>
      </c>
      <c r="Z121" s="1948"/>
      <c r="AA121" s="1948"/>
      <c r="AB121" s="1948"/>
      <c r="AC121" s="898"/>
      <c r="AD121" s="1948"/>
      <c r="AE121" s="1948"/>
      <c r="AF121" s="1948"/>
      <c r="AG121" s="1948"/>
      <c r="AH121" s="611"/>
      <c r="AI121" s="611"/>
      <c r="AJ121" s="613"/>
      <c r="AK121" s="574"/>
      <c r="AL121" s="574"/>
      <c r="AM121" s="574"/>
      <c r="AN121" s="569"/>
      <c r="AO121" s="570" t="str">
        <f>Application!B733</f>
        <v>3 Bedrooms</v>
      </c>
      <c r="AQ121" s="570">
        <f>Application!O733</f>
        <v>998</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1241</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4 Bedrooms</v>
      </c>
      <c r="AQ123" s="570">
        <f>Application!O735</f>
        <v>563</v>
      </c>
      <c r="AU123" s="1044"/>
      <c r="AV123" s="1044"/>
      <c r="AW123" s="1044"/>
      <c r="AX123" s="1044"/>
      <c r="AY123" s="1044"/>
      <c r="AZ123" s="1044"/>
    </row>
    <row r="124" spans="1:52" s="570" customFormat="1" ht="12.75" customHeight="1">
      <c r="A124" s="574"/>
      <c r="B124" s="573"/>
      <c r="C124" s="574"/>
      <c r="D124" s="574"/>
      <c r="E124" s="1940">
        <f>Application!DX670</f>
        <v>0</v>
      </c>
      <c r="F124" s="1941"/>
      <c r="G124" s="1941"/>
      <c r="H124" s="1941"/>
      <c r="I124" s="898"/>
      <c r="J124" s="1941">
        <f>Application!EC670</f>
        <v>542.70967741935476</v>
      </c>
      <c r="K124" s="1941"/>
      <c r="L124" s="1941"/>
      <c r="M124" s="1941"/>
      <c r="N124" s="898"/>
      <c r="O124" s="1941">
        <f>Application!EH670</f>
        <v>648.52941176470586</v>
      </c>
      <c r="P124" s="1941"/>
      <c r="Q124" s="1941"/>
      <c r="R124" s="1941"/>
      <c r="S124" s="902"/>
      <c r="T124" s="1941">
        <f>Application!EM670</f>
        <v>774.69230769230774</v>
      </c>
      <c r="U124" s="1941"/>
      <c r="V124" s="1941"/>
      <c r="W124" s="1941"/>
      <c r="X124" s="902"/>
      <c r="Y124" s="1941">
        <f>Application!ER670</f>
        <v>833.625</v>
      </c>
      <c r="Z124" s="1941"/>
      <c r="AA124" s="1941"/>
      <c r="AB124" s="1941"/>
      <c r="AC124" s="902"/>
      <c r="AD124" s="1941">
        <f>Application!EW670</f>
        <v>0</v>
      </c>
      <c r="AE124" s="1941"/>
      <c r="AF124" s="1941"/>
      <c r="AG124" s="1941"/>
      <c r="AH124" s="611"/>
      <c r="AI124" s="611"/>
      <c r="AJ124" s="613"/>
      <c r="AK124" s="574"/>
      <c r="AL124" s="574"/>
      <c r="AM124" s="574"/>
      <c r="AN124" s="569"/>
      <c r="AO124" s="570" t="str">
        <f>Application!B736</f>
        <v>4 Bedrooms</v>
      </c>
      <c r="AQ124" s="570">
        <f>Application!O736</f>
        <v>563</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4 Bedrooms</v>
      </c>
      <c r="AQ125" s="570">
        <f>Application!O737</f>
        <v>834</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4 Bedrooms</v>
      </c>
      <c r="AQ126" s="570">
        <f>Application!O738</f>
        <v>1104</v>
      </c>
      <c r="AU126" s="1044"/>
      <c r="AV126" s="1044"/>
      <c r="AW126" s="1045"/>
      <c r="AX126" s="1045"/>
      <c r="AY126" s="1044"/>
      <c r="AZ126" s="1044"/>
    </row>
    <row r="127" spans="1:52" s="570" customFormat="1" ht="12.75" customHeight="1">
      <c r="A127" s="574"/>
      <c r="B127" s="573"/>
      <c r="C127" s="574"/>
      <c r="D127" s="574"/>
      <c r="E127" s="2137" t="e">
        <f>(E121-E124)/E121</f>
        <v>#DIV/0!</v>
      </c>
      <c r="F127" s="1893"/>
      <c r="G127" s="1893"/>
      <c r="H127" s="2138"/>
      <c r="I127" s="611"/>
      <c r="J127" s="2137">
        <f>(J121-J124)/J121</f>
        <v>0.54774193548387107</v>
      </c>
      <c r="K127" s="1893"/>
      <c r="L127" s="1893"/>
      <c r="M127" s="2138"/>
      <c r="N127" s="611"/>
      <c r="O127" s="2137">
        <f>(O121-O124)/O121</f>
        <v>0.56764705882352939</v>
      </c>
      <c r="P127" s="1893"/>
      <c r="Q127" s="1893"/>
      <c r="R127" s="2138"/>
      <c r="S127" s="611"/>
      <c r="T127" s="2137">
        <f>(T121-T124)/T121</f>
        <v>0.48353846153846153</v>
      </c>
      <c r="U127" s="1893"/>
      <c r="V127" s="1893"/>
      <c r="W127" s="2138"/>
      <c r="X127" s="611"/>
      <c r="Y127" s="2137">
        <f>(Y121-Y124)/Y121</f>
        <v>0.44424999999999998</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t="e">
        <f>IF(((E127-0.1)*AW110)&gt;0,((E127-0.1)*AW110),0)</f>
        <v>#DIV/0!</v>
      </c>
      <c r="F130" s="1943"/>
      <c r="G130" s="1943"/>
      <c r="H130" s="1944"/>
      <c r="I130" s="611"/>
      <c r="J130" s="1942">
        <f>IF(((J127-0.1)*AW111)&gt;0,((J127-0.1)*AW111),0)</f>
        <v>0.14020202020202024</v>
      </c>
      <c r="K130" s="1943"/>
      <c r="L130" s="1943"/>
      <c r="M130" s="1944"/>
      <c r="N130" s="611"/>
      <c r="O130" s="1942">
        <f>IF(((O127-0.1)*AW112)&gt;0,((O127-0.1)*AW112),0)</f>
        <v>0.16060606060606061</v>
      </c>
      <c r="P130" s="1943"/>
      <c r="Q130" s="1943"/>
      <c r="R130" s="1944"/>
      <c r="S130" s="611"/>
      <c r="T130" s="1942">
        <f>IF(((T127-0.1)*AW113)&gt;0,((T127-0.1)*AW113),0)</f>
        <v>0.10072727272727272</v>
      </c>
      <c r="U130" s="1943"/>
      <c r="V130" s="1943"/>
      <c r="W130" s="1944"/>
      <c r="X130" s="611"/>
      <c r="Y130" s="1942">
        <f>IF(((Y127-0.1)*AW114)&gt;0,((Y127-0.1)*AW114),0)</f>
        <v>2.7818181818181815E-2</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0.42</v>
      </c>
      <c r="F132" s="1893"/>
      <c r="G132" s="1893"/>
      <c r="H132" s="213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6" t="s">
        <v>1426</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1450</v>
      </c>
      <c r="AG142" s="1938"/>
      <c r="AH142" s="1938"/>
      <c r="AI142" s="1938"/>
      <c r="AJ142" s="1938"/>
      <c r="AK142" s="1938"/>
      <c r="AL142" s="193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2771</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4" t="s">
        <v>1453</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5" t="s">
        <v>600</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4" t="s">
        <v>1455</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1464</v>
      </c>
      <c r="AG157" s="1938"/>
      <c r="AH157" s="1938"/>
      <c r="AI157" s="1938"/>
      <c r="AJ157" s="1938"/>
      <c r="AK157" s="1938"/>
      <c r="AL157" s="1938"/>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1462</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600</v>
      </c>
      <c r="AG161" s="196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4" t="s">
        <v>1455</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9" t="s">
        <v>2742</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1426</v>
      </c>
      <c r="AF175" s="1906"/>
      <c r="AG175" s="1906"/>
      <c r="AH175" s="1906"/>
      <c r="AI175" s="1906"/>
      <c r="AJ175" s="1906"/>
      <c r="AK175" s="190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2" t="s">
        <v>1066</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1475</v>
      </c>
      <c r="AG177" s="1938"/>
      <c r="AH177" s="1938"/>
      <c r="AI177" s="1938"/>
      <c r="AJ177" s="1938"/>
      <c r="AK177" s="1938"/>
      <c r="AL177" s="1938"/>
      <c r="AN177" s="631"/>
      <c r="AP177" s="584" t="s">
        <v>1068</v>
      </c>
      <c r="AQ177" s="584">
        <v>10</v>
      </c>
    </row>
    <row r="178" spans="1:45" s="584" customFormat="1" ht="12.75" customHeight="1">
      <c r="A178" s="570"/>
      <c r="B178" s="1963" t="s">
        <v>1917</v>
      </c>
      <c r="C178" s="1963"/>
      <c r="D178" s="1963"/>
      <c r="E178" s="1963"/>
      <c r="F178" s="1963"/>
      <c r="G178" s="1963"/>
      <c r="H178" s="1963"/>
      <c r="I178" s="1963"/>
      <c r="J178" s="1963"/>
      <c r="K178" s="1963"/>
      <c r="L178" s="1963"/>
      <c r="M178" s="1963"/>
      <c r="N178" s="1963"/>
      <c r="O178" s="1963"/>
      <c r="P178" s="1963"/>
      <c r="Q178" s="1963"/>
      <c r="R178" s="1963"/>
      <c r="S178" s="1963"/>
      <c r="T178" s="1939" t="s">
        <v>600</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1">
        <f>IF(AK78&gt;0,VLOOKUP($B$177,AP174:AQ180,2,FALSE),0)</f>
        <v>10</v>
      </c>
      <c r="AL180" s="1972"/>
      <c r="AM180" s="197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1484</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2743</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6612672</v>
      </c>
      <c r="AE188" s="1951"/>
      <c r="AF188" s="1951"/>
      <c r="AG188" s="1951"/>
      <c r="AH188" s="1951"/>
      <c r="AI188" s="1951"/>
      <c r="AJ188" s="1951"/>
      <c r="AK188" s="644"/>
    </row>
    <row r="189" spans="1:45">
      <c r="A189" s="639"/>
      <c r="B189" s="1950" t="s">
        <v>2744</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19142450</v>
      </c>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1740</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3787308.1200414118</v>
      </c>
      <c r="AE198" s="1978"/>
      <c r="AF198" s="1978"/>
      <c r="AG198" s="1978"/>
      <c r="AH198" s="1978"/>
      <c r="AI198" s="1978"/>
      <c r="AJ198" s="1978"/>
      <c r="AK198" s="644"/>
    </row>
    <row r="199" spans="1:37">
      <c r="A199" s="639"/>
      <c r="B199" s="2112" t="s">
        <v>1703</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3">
        <f>SUM(AD188:AJ198)-AD199</f>
        <v>29542430.120041411</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1720</v>
      </c>
      <c r="J211" s="1954"/>
      <c r="K211" s="1954"/>
      <c r="L211" s="570"/>
      <c r="M211" s="570"/>
      <c r="N211" s="570"/>
      <c r="O211" s="570"/>
      <c r="P211" s="570"/>
      <c r="Q211" s="570"/>
      <c r="R211" s="570"/>
      <c r="S211" s="570"/>
      <c r="T211" s="2140" t="s">
        <v>1714</v>
      </c>
      <c r="U211" s="2140"/>
      <c r="V211" s="2140"/>
      <c r="W211" s="2140"/>
      <c r="X211" s="2140"/>
      <c r="Y211" s="2140"/>
      <c r="Z211" s="883"/>
      <c r="AA211" s="523"/>
      <c r="AB211" s="1949" t="s">
        <v>1715</v>
      </c>
      <c r="AC211" s="1949"/>
      <c r="AD211" s="1949"/>
      <c r="AE211" s="1949"/>
      <c r="AF211" s="1949"/>
      <c r="AG211" s="1949"/>
      <c r="AH211" s="861"/>
      <c r="AI211" s="861"/>
      <c r="AJ211" s="861"/>
      <c r="AK211" s="644"/>
    </row>
    <row r="212" spans="1:37">
      <c r="A212" s="639"/>
      <c r="B212" s="1952" t="s">
        <v>1700</v>
      </c>
      <c r="C212" s="1952"/>
      <c r="D212" s="1952"/>
      <c r="E212" s="1952"/>
      <c r="F212" s="1952"/>
      <c r="G212" s="1952"/>
      <c r="I212" s="1953" t="s">
        <v>1721</v>
      </c>
      <c r="J212" s="1953"/>
      <c r="K212" s="1953"/>
      <c r="L212" s="1043"/>
      <c r="N212" s="1959" t="s">
        <v>1716</v>
      </c>
      <c r="O212" s="1959"/>
      <c r="P212" s="1959"/>
      <c r="Q212" s="1959"/>
      <c r="R212" s="1959"/>
      <c r="T212" s="1959" t="s">
        <v>1717</v>
      </c>
      <c r="U212" s="1959"/>
      <c r="V212" s="1959"/>
      <c r="W212" s="1959"/>
      <c r="X212" s="1959"/>
      <c r="Y212" s="1959"/>
      <c r="Z212" s="884"/>
      <c r="AA212" s="523"/>
      <c r="AB212" s="2115" t="s">
        <v>1718</v>
      </c>
      <c r="AC212" s="2115"/>
      <c r="AD212" s="2115"/>
      <c r="AE212" s="2115"/>
      <c r="AF212" s="2115"/>
      <c r="AG212" s="2115"/>
      <c r="AH212" s="861"/>
      <c r="AI212" s="861"/>
      <c r="AJ212" s="861"/>
      <c r="AK212" s="644"/>
    </row>
    <row r="213" spans="1:37">
      <c r="A213" s="639"/>
      <c r="B213" s="1956" t="s">
        <v>2790</v>
      </c>
      <c r="C213" s="1956"/>
      <c r="D213" s="1956"/>
      <c r="E213" s="1956"/>
      <c r="F213" s="1956"/>
      <c r="G213" s="1956"/>
      <c r="H213" s="886"/>
      <c r="I213" s="1955">
        <v>3</v>
      </c>
      <c r="J213" s="1955"/>
      <c r="K213" s="1955"/>
      <c r="L213" s="1043"/>
      <c r="N213" s="1960">
        <f>[1]EVERYTHING!$AI$11</f>
        <v>699</v>
      </c>
      <c r="O213" s="1960"/>
      <c r="P213" s="1960"/>
      <c r="Q213" s="1960"/>
      <c r="R213" s="1960"/>
      <c r="T213" s="2113">
        <f>[1]EVERYTHING!$AD$41</f>
        <v>1438</v>
      </c>
      <c r="U213" s="2113"/>
      <c r="V213" s="2113"/>
      <c r="W213" s="2113"/>
      <c r="X213" s="2113"/>
      <c r="Y213" s="2113"/>
      <c r="Z213" s="885"/>
      <c r="AA213" s="885"/>
      <c r="AB213" s="1957">
        <f t="shared" ref="AB213:AB222" si="0">MAX(($T213-$N213)*$I213*12,0)</f>
        <v>26604</v>
      </c>
      <c r="AC213" s="1957"/>
      <c r="AD213" s="1957"/>
      <c r="AE213" s="1957"/>
      <c r="AF213" s="1957"/>
      <c r="AG213" s="1957"/>
      <c r="AH213" s="861"/>
      <c r="AI213" s="861"/>
      <c r="AJ213" s="861"/>
      <c r="AK213" s="644"/>
    </row>
    <row r="214" spans="1:37">
      <c r="A214" s="639"/>
      <c r="B214" s="1956" t="s">
        <v>2791</v>
      </c>
      <c r="C214" s="1956"/>
      <c r="D214" s="1956"/>
      <c r="E214" s="1956"/>
      <c r="F214" s="1956"/>
      <c r="G214" s="1956"/>
      <c r="I214" s="1955">
        <v>5</v>
      </c>
      <c r="J214" s="1955"/>
      <c r="K214" s="1955"/>
      <c r="L214" s="1043"/>
      <c r="N214" s="1960">
        <f>[1]EVERYTHING!$AI$15</f>
        <v>839</v>
      </c>
      <c r="O214" s="1960"/>
      <c r="P214" s="1960"/>
      <c r="Q214" s="1960"/>
      <c r="R214" s="1960"/>
      <c r="T214" s="2113">
        <f>[1]EVERYTHING!$AD$44</f>
        <v>1780</v>
      </c>
      <c r="U214" s="2113"/>
      <c r="V214" s="2113"/>
      <c r="W214" s="2113"/>
      <c r="X214" s="2113"/>
      <c r="Y214" s="2113"/>
      <c r="Z214" s="885"/>
      <c r="AA214" s="885"/>
      <c r="AB214" s="1957">
        <f t="shared" si="0"/>
        <v>56460</v>
      </c>
      <c r="AC214" s="1957"/>
      <c r="AD214" s="1957"/>
      <c r="AE214" s="1957"/>
      <c r="AF214" s="1957"/>
      <c r="AG214" s="1957"/>
      <c r="AH214" s="861"/>
      <c r="AI214" s="861"/>
      <c r="AJ214" s="861"/>
      <c r="AK214" s="644"/>
    </row>
    <row r="215" spans="1:37">
      <c r="A215" s="639"/>
      <c r="B215" s="1956" t="s">
        <v>2792</v>
      </c>
      <c r="C215" s="1956"/>
      <c r="D215" s="1956"/>
      <c r="E215" s="1956"/>
      <c r="F215" s="1956"/>
      <c r="G215" s="1956"/>
      <c r="I215" s="1955">
        <v>14</v>
      </c>
      <c r="J215" s="1955"/>
      <c r="K215" s="1955"/>
      <c r="L215" s="1043"/>
      <c r="N215" s="1960">
        <f>[1]EVERYTHING!$AI$21</f>
        <v>969</v>
      </c>
      <c r="O215" s="1960"/>
      <c r="P215" s="1960"/>
      <c r="Q215" s="1960"/>
      <c r="R215" s="1960"/>
      <c r="T215" s="2113">
        <f>[1]EVERYTHING!$AD$50</f>
        <v>2764</v>
      </c>
      <c r="U215" s="2113"/>
      <c r="V215" s="2113"/>
      <c r="W215" s="2113"/>
      <c r="X215" s="2113"/>
      <c r="Y215" s="2113"/>
      <c r="Z215" s="885"/>
      <c r="AA215" s="885"/>
      <c r="AB215" s="1957">
        <f t="shared" si="0"/>
        <v>301560</v>
      </c>
      <c r="AC215" s="1957"/>
      <c r="AD215" s="1957"/>
      <c r="AE215" s="1957"/>
      <c r="AF215" s="1957"/>
      <c r="AG215" s="1957"/>
      <c r="AH215" s="861"/>
      <c r="AI215" s="861"/>
      <c r="AJ215" s="861"/>
      <c r="AK215" s="644"/>
    </row>
    <row r="216" spans="1:37">
      <c r="A216" s="639"/>
      <c r="B216" s="1956" t="s">
        <v>2793</v>
      </c>
      <c r="C216" s="1956"/>
      <c r="D216" s="1956"/>
      <c r="E216" s="1956"/>
      <c r="F216" s="1956"/>
      <c r="G216" s="1956"/>
      <c r="I216" s="1955">
        <v>1</v>
      </c>
      <c r="J216" s="1955"/>
      <c r="K216" s="1955"/>
      <c r="L216" s="1043"/>
      <c r="N216" s="1960">
        <f>[1]EVERYTHING!$AI$28</f>
        <v>1082</v>
      </c>
      <c r="O216" s="1960"/>
      <c r="P216" s="1960"/>
      <c r="Q216" s="1960"/>
      <c r="R216" s="1960"/>
      <c r="T216" s="2113">
        <f>[1]EVERYTHING!$AD$53</f>
        <v>2942</v>
      </c>
      <c r="U216" s="2113"/>
      <c r="V216" s="2113"/>
      <c r="W216" s="2113"/>
      <c r="X216" s="2113"/>
      <c r="Y216" s="2113"/>
      <c r="Z216" s="885"/>
      <c r="AA216" s="885"/>
      <c r="AB216" s="1957">
        <f t="shared" si="0"/>
        <v>22320</v>
      </c>
      <c r="AC216" s="1957"/>
      <c r="AD216" s="1957"/>
      <c r="AE216" s="1957"/>
      <c r="AF216" s="1957"/>
      <c r="AG216" s="1957"/>
      <c r="AH216" s="861"/>
      <c r="AI216" s="861"/>
      <c r="AJ216" s="861"/>
      <c r="AK216" s="644"/>
    </row>
    <row r="217" spans="1:37">
      <c r="A217" s="639"/>
      <c r="B217" s="1956" t="s">
        <v>1291</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1291</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1291</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1291</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1291</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1291</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7">
        <f>SUM(AB213:AB222)</f>
        <v>406944</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406944</v>
      </c>
      <c r="AC239" s="1957"/>
      <c r="AD239" s="1957"/>
      <c r="AE239" s="1957"/>
      <c r="AF239" s="1957"/>
      <c r="AG239" s="195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386596.8</v>
      </c>
      <c r="AC241" s="1988"/>
      <c r="AD241" s="1988"/>
      <c r="AE241" s="1988"/>
      <c r="AF241" s="1988"/>
      <c r="AG241" s="198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336171.13043478265</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3787308.1200414118</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 ca="1">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 ca="1">AD200*(1-AB255)</f>
        <v>29542430.120041411</v>
      </c>
      <c r="AH257" s="1974"/>
      <c r="AI257" s="1974"/>
      <c r="AJ257" s="1974"/>
      <c r="AK257" s="197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 ca="1">'Sources and Uses Budget'!C105</f>
        <v>76807741.537311003</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 ca="1">ROUNDDOWN(IF(AND(C281="Yes",AK78=10),((AG257*2)/AG258),AG257/AG258),2)</f>
        <v>0.38</v>
      </c>
      <c r="AH259" s="1975"/>
      <c r="AI259" s="1975"/>
      <c r="AJ259" s="1975"/>
      <c r="AK259" s="1975"/>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6">
        <f ca="1">IFERROR(IF(AG259=0,0,IF((AG259*100)&gt;8,8,(AG259*100))),0)</f>
        <v>8</v>
      </c>
      <c r="AL262" s="1976"/>
      <c r="AM262" s="197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8" t="s">
        <v>554</v>
      </c>
      <c r="D267" s="1968"/>
      <c r="E267" s="581"/>
      <c r="F267" s="2125" t="s">
        <v>2340</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1475</v>
      </c>
      <c r="AH267" s="1969"/>
      <c r="AI267" s="1969"/>
      <c r="AJ267" s="1969"/>
      <c r="AK267" s="584"/>
      <c r="AL267" s="584"/>
      <c r="AM267" s="584"/>
      <c r="AO267" s="584"/>
    </row>
    <row r="268" spans="1:52" ht="13.7"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6">
        <f>IF($C$267="yes",10,0)</f>
        <v>10</v>
      </c>
      <c r="AL274" s="1976"/>
      <c r="AM274" s="197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1494</v>
      </c>
      <c r="B281" s="1664"/>
      <c r="C281" s="1965" t="s">
        <v>600</v>
      </c>
      <c r="D281" s="1968"/>
      <c r="E281" s="581"/>
      <c r="F281" s="1996" t="s">
        <v>1495</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2333</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2341</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1496</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1497</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1498</v>
      </c>
      <c r="B291" s="1664"/>
      <c r="C291" s="1968" t="s">
        <v>554</v>
      </c>
      <c r="D291" s="196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3" t="s">
        <v>2335</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1501</v>
      </c>
      <c r="B299" s="1664"/>
      <c r="C299" s="1968" t="s">
        <v>600</v>
      </c>
      <c r="D299" s="196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0" t="s">
        <v>2342</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4" t="s">
        <v>1504</v>
      </c>
      <c r="B322" s="1664"/>
      <c r="C322" s="1968" t="s">
        <v>600</v>
      </c>
      <c r="D322" s="1968"/>
      <c r="E322" s="581"/>
      <c r="F322" s="1897" t="s">
        <v>2343</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6" t="s">
        <v>1426</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1566</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2410</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2574</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1567</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8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1568</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15</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1569</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5</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590</v>
      </c>
      <c r="AP350" s="730">
        <f>IF(C396="Yes",5,0)</f>
        <v>0</v>
      </c>
      <c r="AS350" s="573" t="s">
        <v>2071</v>
      </c>
    </row>
    <row r="351" spans="1:46" s="584" customFormat="1" ht="12.75" customHeight="1">
      <c r="A351" s="637"/>
      <c r="B351" s="645"/>
      <c r="C351" s="2032" t="s">
        <v>1570</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15</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5</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5</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15</v>
      </c>
      <c r="AQ355" s="2033">
        <f>IF(AP355&gt;0,AP355,0)</f>
        <v>15</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0" t="s">
        <v>1571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465</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470</v>
      </c>
      <c r="AP359" s="730">
        <f>IF(C438="Yes",5,0)</f>
        <v>0</v>
      </c>
    </row>
    <row r="360" spans="1:81" s="584" customFormat="1" ht="68.099999999999994"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9">
        <f>Application!CS660-U363</f>
        <v>209</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4" t="s">
        <v>1573</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600</v>
      </c>
      <c r="D370" s="196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1575</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4" t="s">
        <v>1576</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600</v>
      </c>
      <c r="D378" s="196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1575</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4" t="s">
        <v>1578</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600</v>
      </c>
      <c r="D386" s="196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1580</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554</v>
      </c>
      <c r="D388" s="196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1575</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4" t="s">
        <v>1584</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600</v>
      </c>
      <c r="D396" s="196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1575</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600</v>
      </c>
      <c r="D398" s="196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1587</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554</v>
      </c>
      <c r="D401" s="1968"/>
      <c r="E401" s="749" t="s">
        <v>1588</v>
      </c>
      <c r="F401" s="2014" t="s">
        <v>1589</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1575</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4" t="s">
        <v>1591</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554</v>
      </c>
      <c r="D410" s="196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1575</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600</v>
      </c>
      <c r="D412" s="196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1587</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4" t="s">
        <v>1595</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600</v>
      </c>
      <c r="D419" s="196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1575</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4" t="s">
        <v>1598</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600</v>
      </c>
      <c r="D431" s="196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1575</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4" t="s">
        <v>1601</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600</v>
      </c>
      <c r="D438" s="196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1575</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600</v>
      </c>
      <c r="D442" s="2018"/>
      <c r="E442" s="749" t="s">
        <v>1610</v>
      </c>
      <c r="F442" s="2014" t="s">
        <v>1611</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1575</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600</v>
      </c>
      <c r="D446" s="1968"/>
      <c r="E446" s="749" t="s">
        <v>1616</v>
      </c>
      <c r="F446" s="2014" t="s">
        <v>1617</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1575</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4" t="s">
        <v>1620</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600</v>
      </c>
      <c r="D455" s="196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1575</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1">
        <f>IF(Application!D214="N/A",AS347,AS349)</f>
        <v>15</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2" t="s">
        <v>1624</v>
      </c>
      <c r="AF461" s="2012"/>
      <c r="AG461" s="2012"/>
      <c r="AH461" s="2012"/>
      <c r="AI461" s="2012"/>
      <c r="AJ461" s="2012"/>
      <c r="AK461" s="201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7" t="s">
        <v>600</v>
      </c>
      <c r="D467" s="2038"/>
      <c r="E467" s="795" t="s">
        <v>516</v>
      </c>
      <c r="F467" s="2039" t="s">
        <v>1630</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2" t="s">
        <v>554</v>
      </c>
      <c r="D471" s="2043"/>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9" t="s">
        <v>600</v>
      </c>
      <c r="W474" s="2049"/>
      <c r="X474" s="204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9" t="s">
        <v>600</v>
      </c>
      <c r="W476" s="2049"/>
      <c r="X476" s="204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9" t="s">
        <v>600</v>
      </c>
      <c r="W481" s="2049"/>
      <c r="X481" s="204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8"/>
      <c r="E484" s="2048"/>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9" t="s">
        <v>600</v>
      </c>
      <c r="W485" s="2049"/>
      <c r="X485" s="204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9" t="s">
        <v>600</v>
      </c>
      <c r="W487" s="2049"/>
      <c r="X487" s="204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600</v>
      </c>
      <c r="D490" s="2038"/>
      <c r="E490" s="795" t="s">
        <v>516</v>
      </c>
      <c r="F490" s="2039" t="s">
        <v>1630</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600</v>
      </c>
      <c r="D494" s="2038"/>
      <c r="E494" s="795" t="s">
        <v>767</v>
      </c>
      <c r="F494" s="2045" t="s">
        <v>1652</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600</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600</v>
      </c>
      <c r="D499" s="203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600</v>
      </c>
      <c r="D504" s="206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600</v>
      </c>
      <c r="D508" s="2063"/>
      <c r="F508" s="829" t="s">
        <v>1660</v>
      </c>
      <c r="G508" s="2015" t="s">
        <v>1661</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600</v>
      </c>
      <c r="D512" s="2051"/>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1673</v>
      </c>
      <c r="AF527" s="1906"/>
      <c r="AG527" s="1906"/>
      <c r="AH527" s="1906"/>
      <c r="AI527" s="1906"/>
      <c r="AJ527" s="1906"/>
      <c r="AK527" s="190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554</v>
      </c>
      <c r="D530" s="1968"/>
      <c r="E530" s="585"/>
      <c r="F530" s="2054" t="s">
        <v>1674</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600</v>
      </c>
      <c r="D533" s="196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1676</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1677</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46239870</v>
      </c>
      <c r="AQ539" s="2118"/>
      <c r="AR539" s="211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 ca="1">'Sources and Uses Budget'!S107+'Sources and Uses Budget'!T107</f>
        <v>71226765.343381613</v>
      </c>
      <c r="AG540" s="1974"/>
      <c r="AH540" s="1974"/>
      <c r="AI540" s="1974"/>
      <c r="AJ540" s="197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105107170.3</v>
      </c>
      <c r="AG541" s="2123"/>
      <c r="AH541" s="2123"/>
      <c r="AI541" s="2123"/>
      <c r="AJ541" s="2123"/>
      <c r="AK541" s="629"/>
      <c r="AL541" s="629"/>
      <c r="AM541" s="629"/>
      <c r="AN541" s="631"/>
      <c r="AP541" s="2118">
        <f>Application!AJ1044</f>
        <v>33292706.399999999</v>
      </c>
      <c r="AQ541" s="2118"/>
      <c r="AR541" s="211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 ca="1">IFERROR(ROUNDDOWN(IF(C533="YES",((1-(AF540/AF541))*2),(1-(AF540/AF541))),2),0)</f>
        <v>0.32</v>
      </c>
      <c r="AG542" s="2124"/>
      <c r="AH542" s="2124"/>
      <c r="AI542" s="2124"/>
      <c r="AJ542" s="2124"/>
      <c r="AK542" s="629"/>
      <c r="AL542" s="629"/>
      <c r="AM542" s="629"/>
      <c r="AN542" s="631"/>
      <c r="AP542" s="2121">
        <f>Application!AJ1048</f>
        <v>21270340.199999999</v>
      </c>
      <c r="AQ542" s="2121"/>
      <c r="AR542" s="212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v>
      </c>
      <c r="AQ543" s="2117"/>
      <c r="AR543" s="2117"/>
      <c r="AS543" s="584" t="s">
        <v>2537</v>
      </c>
    </row>
    <row r="544" spans="1:49" s="584" customFormat="1" ht="12.75" customHeight="1">
      <c r="A544" s="658"/>
      <c r="B544" s="2070" t="s">
        <v>2347</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68115274.299999997</v>
      </c>
      <c r="AQ545" s="2026"/>
      <c r="AR545" s="2026"/>
      <c r="AS545" s="584" t="s">
        <v>2539</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122678320.89999999</v>
      </c>
      <c r="AQ546" s="2118"/>
      <c r="AR546" s="211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9">
        <f ca="1">IFERROR(IF(AND(C530="N/A",C533="N/A"),0,IF(AF542=0,0,IF((AF542*100)&gt;12,12,(AF542*100)))),0)</f>
        <v>12</v>
      </c>
      <c r="AL548" s="2079"/>
      <c r="AM548" s="2080"/>
      <c r="AN548" s="631"/>
      <c r="AP548" s="2134">
        <f>AP545+(AP539*AP543)</f>
        <v>105107170.3</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1426</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2338</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1450</v>
      </c>
      <c r="AG567" s="1938"/>
      <c r="AH567" s="1938"/>
      <c r="AI567" s="1938"/>
      <c r="AJ567" s="1938"/>
      <c r="AK567" s="1938"/>
      <c r="AL567" s="1938"/>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1508</v>
      </c>
      <c r="AG574" s="1938"/>
      <c r="AH574" s="1938"/>
      <c r="AI574" s="1938"/>
      <c r="AJ574" s="1938"/>
      <c r="AK574" s="1938"/>
      <c r="AL574" s="1938"/>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1490</v>
      </c>
      <c r="AG580" s="1938"/>
      <c r="AH580" s="1938"/>
      <c r="AI580" s="1938"/>
      <c r="AJ580" s="1938"/>
      <c r="AK580" s="1938"/>
      <c r="AL580" s="1938"/>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1511</v>
      </c>
      <c r="AG586" s="1938"/>
      <c r="AH586" s="1938"/>
      <c r="AI586" s="1938"/>
      <c r="AJ586" s="1938"/>
      <c r="AK586" s="1938"/>
      <c r="AL586" s="1938"/>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2" t="s">
        <v>1291</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1464</v>
      </c>
      <c r="AG592" s="1938"/>
      <c r="AH592" s="1938"/>
      <c r="AI592" s="1938"/>
      <c r="AJ592" s="1938"/>
      <c r="AK592" s="1938"/>
      <c r="AL592" s="1938"/>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0" t="s">
        <v>1509</v>
      </c>
      <c r="I595" s="2020"/>
      <c r="J595" s="971"/>
      <c r="K595" s="971"/>
      <c r="L595" s="971"/>
      <c r="N595" s="22"/>
      <c r="O595" s="22"/>
      <c r="P595" s="22"/>
      <c r="Q595" s="1195" t="s">
        <v>2542</v>
      </c>
      <c r="R595" s="2023" t="s">
        <v>2543</v>
      </c>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5" t="s">
        <v>600</v>
      </c>
      <c r="C605" s="1965"/>
      <c r="D605" s="676"/>
      <c r="E605" s="1991" t="s">
        <v>1515</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1">
        <f>VLOOKUP($H$595,$AO$575:$AP$580,2,FALSE)+IF(R595=AO583,0,VLOOKUP($I$603,$AO$602:$AP$604,2,FALSE))</f>
        <v>4</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9" t="s">
        <v>1885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1464</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5" t="s">
        <v>600</v>
      </c>
      <c r="Y623" s="196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1520</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0" t="s">
        <v>697</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1">
        <f>VLOOKUP($H$627,$AO$594:$AP$596,2,FALSE)</f>
        <v>3</v>
      </c>
      <c r="AK629" s="197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1" t="s">
        <v>2417</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1464</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1520</v>
      </c>
      <c r="AG636" s="1938"/>
      <c r="AH636" s="1938"/>
      <c r="AI636" s="1938"/>
      <c r="AJ636" s="1938"/>
      <c r="AK636" s="1938"/>
      <c r="AL636" s="1938"/>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0" t="s">
        <v>600</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1" t="s">
        <v>1530</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1490</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1" t="s">
        <v>1531</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1511</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1532</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1464</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600</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1" t="s">
        <v>1533</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1511</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1" t="s">
        <v>1534</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1464</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1" t="s">
        <v>1535</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1520</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1" t="s">
        <v>1536</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1537</v>
      </c>
      <c r="AG670" s="1938"/>
      <c r="AH670" s="1938"/>
      <c r="AI670" s="1938"/>
      <c r="AJ670" s="1938"/>
      <c r="AK670" s="1938"/>
      <c r="AL670" s="1938"/>
      <c r="AM670" s="630"/>
      <c r="AN670" s="631"/>
      <c r="AO670" s="645" t="s">
        <v>697</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0" t="s">
        <v>518</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1">
        <f>VLOOKUP($H$674,$AO$622:$AP$629,2,FALSE)</f>
        <v>4</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99</v>
      </c>
    </row>
    <row r="680" spans="1:51" s="584" customFormat="1" ht="12.75" customHeight="1">
      <c r="A680" s="713"/>
      <c r="B680" s="570"/>
      <c r="C680" s="983"/>
      <c r="D680" s="697" t="s">
        <v>697</v>
      </c>
      <c r="E680" s="2027" t="s">
        <v>2555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1464</v>
      </c>
      <c r="AG680" s="1938"/>
      <c r="AH680" s="1938"/>
      <c r="AI680" s="1938"/>
      <c r="AJ680" s="1938"/>
      <c r="AK680" s="1938"/>
      <c r="AL680" s="1938"/>
      <c r="AN680" s="631"/>
      <c r="AW680" s="22" t="s">
        <v>2550</v>
      </c>
      <c r="AX680" s="584">
        <f>Application!CC632</f>
        <v>26</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2551</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1" t="s">
        <v>2454</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1464</v>
      </c>
      <c r="AG683" s="1938"/>
      <c r="AH683" s="1938"/>
      <c r="AI683" s="1938"/>
      <c r="AJ683" s="1938"/>
      <c r="AK683" s="1938"/>
      <c r="AL683" s="1938"/>
      <c r="AN683" s="631"/>
      <c r="AW683" s="22" t="s">
        <v>2553</v>
      </c>
      <c r="AX683" s="584">
        <f>AX680+AX681+AX682</f>
        <v>34</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2554</v>
      </c>
      <c r="AX684" s="584">
        <f>IFERROR(AX683/AX679,0)</f>
        <v>0.34343434343434343</v>
      </c>
      <c r="AY684" s="584">
        <f>IFERROR(AX683/(AX679-AX678),0)</f>
        <v>0.34343434343434343</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1" t="s">
        <v>2455</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1520</v>
      </c>
      <c r="AG688" s="1938"/>
      <c r="AH688" s="1938"/>
      <c r="AI688" s="1938"/>
      <c r="AJ688" s="1938"/>
      <c r="AK688" s="1938"/>
      <c r="AL688" s="1938"/>
      <c r="AN688" s="631"/>
      <c r="AO688" s="645" t="s">
        <v>518</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1" t="s">
        <v>1884</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0" t="s">
        <v>697</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1">
        <f>VLOOKUP($H$698,$AO$692:$AP$694,2,FALSE)</f>
        <v>3</v>
      </c>
      <c r="AK700" s="197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1464</v>
      </c>
      <c r="AG704" s="1938"/>
      <c r="AH704" s="1938"/>
      <c r="AI704" s="1938"/>
      <c r="AJ704" s="1938"/>
      <c r="AK704" s="1938"/>
      <c r="AL704" s="1938"/>
      <c r="AM704" s="584"/>
      <c r="AN704" s="718"/>
      <c r="AP704" s="604" t="s">
        <v>1544</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1520</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0" t="s">
        <v>600</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1" t="s">
        <v>1887</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1464</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1" t="s">
        <v>1551</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1520</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0" t="s">
        <v>600</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1" t="s">
        <v>1554</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1464</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1" t="s">
        <v>1555</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1520</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0" t="s">
        <v>518</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1">
        <f>VLOOKUP($H$740,$AO$669:$AP$671,2,FALSE)</f>
        <v>2</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1" t="s">
        <v>1557</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1520</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1" t="s">
        <v>1558</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1537</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0" t="s">
        <v>518</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1">
        <f>VLOOKUP($H$752,$AO$686:$AP$688,2,FALSE)</f>
        <v>1</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1" t="s">
        <v>1883</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1520</v>
      </c>
      <c r="AG758" s="1938"/>
      <c r="AH758" s="1938"/>
      <c r="AI758" s="1938"/>
      <c r="AJ758" s="1938"/>
      <c r="AK758" s="1938"/>
      <c r="AL758" s="1938"/>
      <c r="AM758" s="647"/>
      <c r="AN758" s="718"/>
      <c r="AO758" s="584" t="s">
        <v>600</v>
      </c>
      <c r="AP758" s="707">
        <v>0</v>
      </c>
    </row>
    <row r="759" spans="1:74" s="604" customFormat="1" ht="13.7"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0" t="s">
        <v>1888</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1464</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0" t="s">
        <v>600</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1" t="s">
        <v>2348</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1464</v>
      </c>
      <c r="AG774" s="1938"/>
      <c r="AH774" s="1938"/>
      <c r="AI774" s="1938"/>
      <c r="AJ774" s="1938"/>
      <c r="AK774" s="1938"/>
      <c r="AL774" s="193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0" t="s">
        <v>600</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1681</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1682</v>
      </c>
      <c r="U791" s="2085"/>
      <c r="V791" s="2085"/>
      <c r="W791" s="2085"/>
      <c r="X791" s="2085"/>
      <c r="Y791" s="2086"/>
      <c r="Z791" s="2084" t="s">
        <v>1683</v>
      </c>
      <c r="AA791" s="2085"/>
      <c r="AB791" s="2085"/>
      <c r="AC791" s="2085"/>
      <c r="AD791" s="2085"/>
      <c r="AE791" s="2086"/>
      <c r="AF791" s="2084" t="s">
        <v>1684</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767</v>
      </c>
      <c r="B793" s="2064" t="s">
        <v>1416</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1654</v>
      </c>
      <c r="B794" s="2064" t="s">
        <v>1425</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1663</v>
      </c>
      <c r="B795" s="2064" t="s">
        <v>1435</v>
      </c>
      <c r="C795" s="2064"/>
      <c r="D795" s="2064"/>
      <c r="E795" s="2064"/>
      <c r="F795" s="2064"/>
      <c r="G795" s="2064"/>
      <c r="H795" s="2064"/>
      <c r="I795" s="2064"/>
      <c r="J795" s="2064"/>
      <c r="K795" s="2064"/>
      <c r="L795" s="2064"/>
      <c r="M795" s="2064"/>
      <c r="N795" s="2064"/>
      <c r="O795" s="2064"/>
      <c r="P795" s="2064"/>
      <c r="Q795" s="2064"/>
      <c r="R795" s="2064"/>
      <c r="S795" s="2065"/>
      <c r="T795" s="2066">
        <f>AK103</f>
        <v>20</v>
      </c>
      <c r="U795" s="2067"/>
      <c r="V795" s="2067"/>
      <c r="W795" s="2067"/>
      <c r="X795" s="2067"/>
      <c r="Y795" s="2068"/>
      <c r="Z795" s="2069">
        <v>20</v>
      </c>
      <c r="AA795" s="2067"/>
      <c r="AB795" s="2067"/>
      <c r="AC795" s="2067"/>
      <c r="AD795" s="2067"/>
      <c r="AE795" s="2068"/>
      <c r="AF795" s="2033">
        <f>IF(T795&gt;Z795,Z795,T795)</f>
        <v>20</v>
      </c>
      <c r="AG795" s="2033"/>
      <c r="AH795" s="2033"/>
      <c r="AI795" s="2033"/>
      <c r="AJ795" s="2033"/>
      <c r="AK795" s="2033"/>
      <c r="AL795" s="852"/>
      <c r="AM795" s="630"/>
      <c r="AO795" s="850"/>
      <c r="AP795" s="850"/>
      <c r="AQ795" s="850"/>
    </row>
    <row r="796" spans="1:43">
      <c r="A796" s="853" t="s">
        <v>1685</v>
      </c>
      <c r="B796" s="2064" t="s">
        <v>1445</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1686</v>
      </c>
      <c r="B797" s="2064" t="s">
        <v>1687</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1688</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1689</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1473</v>
      </c>
      <c r="B800" s="2064" t="s">
        <v>1690</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1482</v>
      </c>
      <c r="B801" s="2064" t="s">
        <v>1483</v>
      </c>
      <c r="C801" s="2064"/>
      <c r="D801" s="2064"/>
      <c r="E801" s="2064"/>
      <c r="F801" s="2064"/>
      <c r="G801" s="2064"/>
      <c r="H801" s="2064"/>
      <c r="I801" s="2064"/>
      <c r="J801" s="2064"/>
      <c r="K801" s="2064"/>
      <c r="L801" s="2064"/>
      <c r="M801" s="2064"/>
      <c r="N801" s="2064"/>
      <c r="O801" s="2064"/>
      <c r="P801" s="2064"/>
      <c r="Q801" s="2064"/>
      <c r="R801" s="2064"/>
      <c r="S801" s="2065"/>
      <c r="T801" s="2090">
        <f ca="1">AK262</f>
        <v>8</v>
      </c>
      <c r="U801" s="2090"/>
      <c r="V801" s="2090"/>
      <c r="W801" s="2090"/>
      <c r="X801" s="2090"/>
      <c r="Y801" s="2090"/>
      <c r="Z801" s="2069">
        <v>8</v>
      </c>
      <c r="AA801" s="2067"/>
      <c r="AB801" s="2067"/>
      <c r="AC801" s="2067"/>
      <c r="AD801" s="2067"/>
      <c r="AE801" s="2068"/>
      <c r="AF801" s="2033">
        <f ca="1">IF(T801&gt;Z801,Z801,T801)</f>
        <v>8</v>
      </c>
      <c r="AG801" s="2033"/>
      <c r="AH801" s="2033"/>
      <c r="AI801" s="2033"/>
      <c r="AJ801" s="2033"/>
      <c r="AK801" s="2033"/>
      <c r="AL801" s="852"/>
      <c r="AM801" s="630"/>
    </row>
    <row r="802" spans="1:81" s="568" customFormat="1" hidden="1">
      <c r="A802" s="854" t="s">
        <v>598</v>
      </c>
      <c r="B802" s="2064" t="s">
        <v>1691</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4" t="s">
        <v>1692</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4" t="s">
        <v>1493</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15</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4" t="s">
        <v>1672</v>
      </c>
      <c r="C807" s="2064"/>
      <c r="D807" s="2064"/>
      <c r="E807" s="2064"/>
      <c r="F807" s="2064"/>
      <c r="G807" s="2064"/>
      <c r="H807" s="2064"/>
      <c r="I807" s="2064"/>
      <c r="J807" s="2064"/>
      <c r="K807" s="2064"/>
      <c r="L807" s="2064"/>
      <c r="M807" s="2064"/>
      <c r="N807" s="2064"/>
      <c r="O807" s="2064"/>
      <c r="P807" s="2064"/>
      <c r="Q807" s="2064"/>
      <c r="R807" s="2064"/>
      <c r="S807" s="2065"/>
      <c r="T807" s="2090">
        <f ca="1">AK548</f>
        <v>12</v>
      </c>
      <c r="U807" s="2090"/>
      <c r="V807" s="2090"/>
      <c r="W807" s="2090"/>
      <c r="X807" s="2090"/>
      <c r="Y807" s="2090"/>
      <c r="Z807" s="2096">
        <v>12</v>
      </c>
      <c r="AA807" s="2097"/>
      <c r="AB807" s="2097"/>
      <c r="AC807" s="2097"/>
      <c r="AD807" s="2097"/>
      <c r="AE807" s="2098"/>
      <c r="AF807" s="2033">
        <f ca="1">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4" t="s">
        <v>1694</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1695</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1696</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9" t="s">
        <v>1697</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81" workbookViewId="0">
      <selection activeCell="G40" sqref="G4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1698</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32110680</v>
      </c>
      <c r="I3" s="1145"/>
    </row>
    <row r="4" spans="1:13" s="1086" customFormat="1" ht="20.100000000000001" customHeight="1">
      <c r="B4" s="1134"/>
      <c r="D4" s="1148"/>
      <c r="F4" s="1132" t="s">
        <v>2303</v>
      </c>
      <c r="G4" s="1131" t="s">
        <v>2302</v>
      </c>
      <c r="H4" s="1133">
        <f ca="1">I16</f>
        <v>47069634.274442978</v>
      </c>
      <c r="I4" s="1135"/>
      <c r="K4" s="1090"/>
    </row>
    <row r="5" spans="1:13" s="1086" customFormat="1" ht="20.100000000000001" customHeight="1" thickBot="1">
      <c r="B5" s="1136"/>
      <c r="C5" s="1137"/>
      <c r="D5" s="1149"/>
      <c r="E5" s="1138"/>
      <c r="F5" s="1149" t="s">
        <v>2243</v>
      </c>
      <c r="G5" s="1150"/>
      <c r="H5" s="1146">
        <f ca="1">H3/H4</f>
        <v>0.6821952304276746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2241</v>
      </c>
      <c r="C8" s="2158"/>
      <c r="D8" s="2158"/>
      <c r="E8" s="2159"/>
      <c r="G8" s="2160" t="s">
        <v>2242</v>
      </c>
      <c r="H8" s="2161"/>
      <c r="I8" s="2162"/>
      <c r="K8" s="1092"/>
    </row>
    <row r="9" spans="1:13" ht="15" customHeight="1">
      <c r="A9" s="1081"/>
      <c r="B9" s="2156" t="s">
        <v>2280</v>
      </c>
      <c r="C9" s="2156"/>
      <c r="D9" s="2156"/>
      <c r="E9" s="1094">
        <f>G31</f>
        <v>6325000</v>
      </c>
      <c r="G9" s="2165" t="s">
        <v>2278</v>
      </c>
      <c r="H9" s="2165"/>
      <c r="I9" s="1095">
        <f>Application!AM554</f>
        <v>39987612.11214298</v>
      </c>
      <c r="K9" s="1096"/>
      <c r="M9" s="1097"/>
    </row>
    <row r="10" spans="1:13" ht="15" customHeight="1" thickBot="1">
      <c r="A10" s="1081"/>
      <c r="B10" s="2156" t="s">
        <v>2281</v>
      </c>
      <c r="C10" s="2156"/>
      <c r="D10" s="2156"/>
      <c r="E10" s="1095">
        <f>G40</f>
        <v>19759680</v>
      </c>
      <c r="G10" s="2165" t="s">
        <v>2244</v>
      </c>
      <c r="H10" s="2165"/>
      <c r="I10" s="1182">
        <f ca="1">'Basis &amp; Credits'!AB77</f>
        <v>13710992</v>
      </c>
      <c r="M10" s="1097"/>
    </row>
    <row r="11" spans="1:13" ht="15" customHeight="1">
      <c r="A11" s="1098"/>
      <c r="B11" s="2156" t="s">
        <v>2282</v>
      </c>
      <c r="C11" s="2156"/>
      <c r="D11" s="2156"/>
      <c r="E11" s="1095">
        <f>G49</f>
        <v>0</v>
      </c>
      <c r="G11" s="2165" t="s">
        <v>2293</v>
      </c>
      <c r="H11" s="2165"/>
      <c r="I11" s="1181">
        <f ca="1">I9+I10</f>
        <v>53698604.11214298</v>
      </c>
      <c r="M11" s="1097"/>
    </row>
    <row r="12" spans="1:13" ht="15" customHeight="1">
      <c r="A12" s="1084"/>
      <c r="B12" s="2156" t="s">
        <v>2283</v>
      </c>
      <c r="C12" s="2156"/>
      <c r="D12" s="2156"/>
      <c r="E12" s="1095">
        <f>G58</f>
        <v>460000</v>
      </c>
      <c r="G12" s="1183" t="s">
        <v>2318</v>
      </c>
      <c r="H12" s="1184"/>
      <c r="M12" s="1097"/>
    </row>
    <row r="13" spans="1:13" ht="15" customHeight="1">
      <c r="A13" s="1081"/>
      <c r="B13" s="2156" t="s">
        <v>2284</v>
      </c>
      <c r="C13" s="2156"/>
      <c r="D13" s="2156"/>
      <c r="E13" s="1100">
        <f>G83</f>
        <v>3036000</v>
      </c>
      <c r="G13" s="2166" t="s">
        <v>139</v>
      </c>
      <c r="H13" s="2166"/>
      <c r="I13" s="1099">
        <f>15%*(Application!AJ993&gt;0)</f>
        <v>0.15</v>
      </c>
      <c r="M13" s="1097"/>
    </row>
    <row r="14" spans="1:13" ht="15" customHeight="1">
      <c r="A14" s="1081"/>
      <c r="B14" s="2156" t="s">
        <v>2285</v>
      </c>
      <c r="C14" s="2156"/>
      <c r="D14" s="2156"/>
      <c r="E14" s="1095">
        <f>IF(G96&gt;G106,G96,0)</f>
        <v>0</v>
      </c>
      <c r="G14" s="1179" t="s">
        <v>2294</v>
      </c>
      <c r="H14" s="1179"/>
      <c r="I14" s="1099">
        <f>IF(Application!AJ1031&gt;0,10%,IF(Application!AJ1035&gt;0,5%,0))</f>
        <v>0</v>
      </c>
      <c r="M14" s="1097"/>
    </row>
    <row r="15" spans="1:13" ht="15" customHeight="1" thickBot="1">
      <c r="A15" s="1081"/>
      <c r="B15" s="2163" t="s">
        <v>2304</v>
      </c>
      <c r="C15" s="2163"/>
      <c r="D15" s="2163"/>
      <c r="E15" s="1151">
        <f>IF(E14&gt;0,0,G106)</f>
        <v>2530000</v>
      </c>
      <c r="G15" s="2169" t="s">
        <v>2295</v>
      </c>
      <c r="H15" s="2170"/>
      <c r="I15" s="1153">
        <f>G114</f>
        <v>-2.6552287581699346E-2</v>
      </c>
      <c r="M15" s="1097"/>
    </row>
    <row r="16" spans="1:13" ht="15" customHeight="1">
      <c r="A16" s="1081"/>
      <c r="B16" s="2164" t="s">
        <v>2240</v>
      </c>
      <c r="C16" s="2164"/>
      <c r="D16" s="2164"/>
      <c r="E16" s="1152">
        <f>SUM(E9:E15)</f>
        <v>32110680</v>
      </c>
      <c r="G16" s="1180" t="s">
        <v>2279</v>
      </c>
      <c r="H16" s="1180"/>
      <c r="I16" s="1154">
        <f ca="1">I11-((I11*I13)+(I11*I14)+(I11*I15))</f>
        <v>47069634.274442978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33</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7" t="s">
        <v>2297</v>
      </c>
      <c r="D20" s="2167" t="s">
        <v>2298</v>
      </c>
      <c r="E20" s="2167" t="s">
        <v>2299</v>
      </c>
      <c r="F20" s="2167" t="s">
        <v>2300</v>
      </c>
      <c r="G20" s="2167" t="s">
        <v>2296</v>
      </c>
      <c r="H20" s="1108"/>
      <c r="I20" s="1107"/>
      <c r="L20" s="1079">
        <f>IFERROR(MIN(4,MATCH(Application!B718,UnitSizes,0)-1),"")</f>
        <v>1</v>
      </c>
      <c r="M20" s="1101">
        <f>Application!G718</f>
        <v>6</v>
      </c>
      <c r="N20" s="1109">
        <f>Application!AC718</f>
        <v>0.3</v>
      </c>
      <c r="O20" s="1109">
        <f>IF(Cdlac[[#This Row],[Quantity]]&gt;0,IF(Cdlac[[#This Row],[Federal]],30%,IF($G$36,40%,Cdlac[[#This Row],[iAMI]])),"")</f>
        <v>0.4</v>
      </c>
      <c r="P20" s="1101" cm="1">
        <f t="array" ref="P20">IF(Cdlac[[#This Row],[Quantity]]&gt;0,INDEX(TcacRents,$P$18,Cdlac[[#This Row],[Bedrooms]]+1)*Cdlac[[#This Row],[AMI]],"")</f>
        <v>699.2</v>
      </c>
      <c r="Q20" s="1101" cm="1">
        <f t="array" ref="Q20">IF(Cdlac[[#This Row],[Quantity]]&gt;0,INDEX(HudFmrs,$P$18,Cdlac[[#This Row],[Bedrooms]]+1),"")</f>
        <v>1398</v>
      </c>
      <c r="R20" s="1101">
        <f>IF(Cdlac[[#This Row],[Quantity]]&gt;0,MAX(0,Cdlac[[#This Row],[Fair Market Rent]]-Cdlac[[#This Row],[Restricted Rent]]),"")</f>
        <v>698.8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3</v>
      </c>
      <c r="N21" s="1109">
        <f>Application!AC719</f>
        <v>0.4</v>
      </c>
      <c r="O21" s="1109">
        <f>IF(Cdlac[[#This Row],[Quantity]]&gt;0,IF(Cdlac[[#This Row],[Federal]],30%,IF($G$36,40%,Cdlac[[#This Row],[iAMI]])),"")</f>
        <v>0.3</v>
      </c>
      <c r="P21" s="1101" cm="1">
        <f t="array" ref="P21">IF(Cdlac[[#This Row],[Quantity]]&gt;0,INDEX(TcacRents,$P$18,Cdlac[[#This Row],[Bedrooms]]+1)*Cdlac[[#This Row],[AMI]],"")</f>
        <v>524.4</v>
      </c>
      <c r="Q21" s="1101" cm="1">
        <f t="array" ref="Q21">IF(Cdlac[[#This Row],[Quantity]]&gt;0,INDEX(HudFmrs,$P$18,Cdlac[[#This Row],[Bedrooms]]+1),"")</f>
        <v>1398</v>
      </c>
      <c r="R21" s="1101">
        <f>IF(Cdlac[[#This Row],[Quantity]]&gt;0,MAX(0,Cdlac[[#This Row],[Fair Market Rent]]-Cdlac[[#This Row],[Restricted Rent]]),"")</f>
        <v>873.6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19</v>
      </c>
      <c r="N22" s="1109">
        <f>Application!AC720</f>
        <v>0.4</v>
      </c>
      <c r="O22" s="1109">
        <f>IF(Cdlac[[#This Row],[Quantity]]&gt;0,IF(Cdlac[[#This Row],[Federal]],30%,IF($G$36,40%,Cdlac[[#This Row],[iAMI]])),"")</f>
        <v>0.4</v>
      </c>
      <c r="P22" s="1101" cm="1">
        <f t="array" ref="P22">IF(Cdlac[[#This Row],[Quantity]]&gt;0,INDEX(TcacRents,$P$18,Cdlac[[#This Row],[Bedrooms]]+1)*Cdlac[[#This Row],[AMI]],"")</f>
        <v>699.2</v>
      </c>
      <c r="Q22" s="1101" cm="1">
        <f t="array" ref="Q22">IF(Cdlac[[#This Row],[Quantity]]&gt;0,INDEX(HudFmrs,$P$18,Cdlac[[#This Row],[Bedrooms]]+1),"")</f>
        <v>1398</v>
      </c>
      <c r="R22" s="1101">
        <f>IF(Cdlac[[#This Row],[Quantity]]&gt;0,MAX(0,Cdlac[[#This Row],[Fair Market Rent]]-Cdlac[[#This Row],[Restricted Rent]]),"")</f>
        <v>698.8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31</v>
      </c>
      <c r="F23" s="1110">
        <f>E23</f>
        <v>31</v>
      </c>
      <c r="G23" s="1110">
        <f>D23*F23</f>
        <v>31</v>
      </c>
      <c r="L23" s="1079">
        <f>IFERROR(MIN(4,MATCH(Application!B721,UnitSizes,0)-1),"")</f>
        <v>1</v>
      </c>
      <c r="M23" s="1101">
        <f>Application!G721</f>
        <v>2</v>
      </c>
      <c r="N23" s="1109">
        <f>Application!AC721</f>
        <v>0.5</v>
      </c>
      <c r="O23" s="1109">
        <f>IF(Cdlac[[#This Row],[Quantity]]&gt;0,IF(Cdlac[[#This Row],[Federal]],30%,IF($G$36,40%,Cdlac[[#This Row],[iAMI]])),"")</f>
        <v>0.4</v>
      </c>
      <c r="P23" s="1101" cm="1">
        <f t="array" ref="P23">IF(Cdlac[[#This Row],[Quantity]]&gt;0,INDEX(TcacRents,$P$18,Cdlac[[#This Row],[Bedrooms]]+1)*Cdlac[[#This Row],[AMI]],"")</f>
        <v>699.2</v>
      </c>
      <c r="Q23" s="1101" cm="1">
        <f t="array" ref="Q23">IF(Cdlac[[#This Row],[Quantity]]&gt;0,INDEX(HudFmrs,$P$18,Cdlac[[#This Row],[Bedrooms]]+1),"")</f>
        <v>1398</v>
      </c>
      <c r="R23" s="1101">
        <f>IF(Cdlac[[#This Row],[Quantity]]&gt;0,MAX(0,Cdlac[[#This Row],[Fair Market Rent]]-Cdlac[[#This Row],[Restricted Rent]]),"")</f>
        <v>698.8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34</v>
      </c>
      <c r="F24" s="1113">
        <f>SUM(E24:E26)-SUM(F25:F26)</f>
        <v>34</v>
      </c>
      <c r="G24" s="1110">
        <f>D24*F24</f>
        <v>42.5</v>
      </c>
      <c r="H24" s="1112"/>
      <c r="I24" s="1112"/>
      <c r="L24" s="1079">
        <f>IFERROR(MIN(4,MATCH(Application!B722,UnitSizes,0)-1),"")</f>
        <v>1</v>
      </c>
      <c r="M24" s="1101">
        <f>Application!G722</f>
        <v>1</v>
      </c>
      <c r="N24" s="1109">
        <f>Application!AC722</f>
        <v>0.6</v>
      </c>
      <c r="O24" s="1109">
        <f>IF(Cdlac[[#This Row],[Quantity]]&gt;0,IF(Cdlac[[#This Row],[Federal]],30%,IF($G$36,40%,Cdlac[[#This Row],[iAMI]])),"")</f>
        <v>0.4</v>
      </c>
      <c r="P24" s="1101" cm="1">
        <f t="array" ref="P24">IF(Cdlac[[#This Row],[Quantity]]&gt;0,INDEX(TcacRents,$P$18,Cdlac[[#This Row],[Bedrooms]]+1)*Cdlac[[#This Row],[AMI]],"")</f>
        <v>699.2</v>
      </c>
      <c r="Q24" s="1101" cm="1">
        <f t="array" ref="Q24">IF(Cdlac[[#This Row],[Quantity]]&gt;0,INDEX(HudFmrs,$P$18,Cdlac[[#This Row],[Bedrooms]]+1),"")</f>
        <v>1398</v>
      </c>
      <c r="R24" s="1101">
        <f>IF(Cdlac[[#This Row],[Quantity]]&gt;0,MAX(0,Cdlac[[#This Row],[Fair Market Rent]]-Cdlac[[#This Row],[Restricted Rent]]),"")</f>
        <v>698.8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26</v>
      </c>
      <c r="F25" s="1113">
        <f>MIN(E25,ROUNDDOWN(E27*30%,0))</f>
        <v>26</v>
      </c>
      <c r="G25" s="1110">
        <f>D25*F25</f>
        <v>39</v>
      </c>
      <c r="H25" s="1112"/>
      <c r="I25" s="1112"/>
      <c r="L25" s="1079">
        <f>IFERROR(MIN(4,MATCH(Application!B723,UnitSizes,0)-1),"")</f>
        <v>2</v>
      </c>
      <c r="M25" s="1101">
        <f>Application!G723</f>
        <v>7</v>
      </c>
      <c r="N25" s="1109">
        <f>Application!AC723</f>
        <v>0.3</v>
      </c>
      <c r="O25" s="1109">
        <f>IF(Cdlac[[#This Row],[Quantity]]&gt;0,IF(Cdlac[[#This Row],[Federal]],30%,IF($G$36,40%,Cdlac[[#This Row],[iAMI]])),"")</f>
        <v>0.4</v>
      </c>
      <c r="P25" s="1101" cm="1">
        <f t="array" ref="P25">IF(Cdlac[[#This Row],[Quantity]]&gt;0,INDEX(TcacRents,$P$18,Cdlac[[#This Row],[Bedrooms]]+1)*Cdlac[[#This Row],[AMI]],"")</f>
        <v>838.40000000000009</v>
      </c>
      <c r="Q25" s="1101" cm="1">
        <f t="array" ref="Q25">IF(Cdlac[[#This Row],[Quantity]]&gt;0,INDEX(HudFmrs,$P$18,Cdlac[[#This Row],[Bedrooms]]+1),"")</f>
        <v>1751</v>
      </c>
      <c r="R25" s="1101">
        <f>IF(Cdlac[[#This Row],[Quantity]]&gt;0,MAX(0,Cdlac[[#This Row],[Fair Market Rent]]-Cdlac[[#This Row],[Restricted Rent]]),"")</f>
        <v>912.59999999999991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5</v>
      </c>
      <c r="N26" s="1109">
        <f>Application!AC724</f>
        <v>0.4</v>
      </c>
      <c r="O26" s="1109">
        <f>IF(Cdlac[[#This Row],[Quantity]]&gt;0,IF(Cdlac[[#This Row],[Federal]],30%,IF($G$36,40%,Cdlac[[#This Row],[iAMI]])),"")</f>
        <v>0.3</v>
      </c>
      <c r="P26" s="1101" cm="1">
        <f t="array" ref="P26">IF(Cdlac[[#This Row],[Quantity]]&gt;0,INDEX(TcacRents,$P$18,Cdlac[[#This Row],[Bedrooms]]+1)*Cdlac[[#This Row],[AMI]],"")</f>
        <v>628.79999999999995</v>
      </c>
      <c r="Q26" s="1101" cm="1">
        <f t="array" ref="Q26">IF(Cdlac[[#This Row],[Quantity]]&gt;0,INDEX(HudFmrs,$P$18,Cdlac[[#This Row],[Bedrooms]]+1),"")</f>
        <v>1751</v>
      </c>
      <c r="R26" s="1101">
        <f>IF(Cdlac[[#This Row],[Quantity]]&gt;0,MAX(0,Cdlac[[#This Row],[Fair Market Rent]]-Cdlac[[#This Row],[Restricted Rent]]),"")</f>
        <v>1122.2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1" t="s">
        <v>1699</v>
      </c>
      <c r="D27" s="2152"/>
      <c r="E27" s="1129">
        <f>SUM(E22:E26)</f>
        <v>99</v>
      </c>
      <c r="F27" s="1129">
        <f>SUM(F22:F26)</f>
        <v>99</v>
      </c>
      <c r="G27" s="1130">
        <f>SUMPRODUCT(D22:D26,F22:F26)</f>
        <v>126.5</v>
      </c>
      <c r="H27" s="1112"/>
      <c r="I27" s="1112"/>
      <c r="L27" s="1079">
        <f>IFERROR(MIN(4,MATCH(Application!B725,UnitSizes,0)-1),"")</f>
        <v>2</v>
      </c>
      <c r="M27" s="1101">
        <f>Application!G725</f>
        <v>18</v>
      </c>
      <c r="N27" s="1109">
        <f>Application!AC725</f>
        <v>0.4</v>
      </c>
      <c r="O27" s="1109">
        <f>IF(Cdlac[[#This Row],[Quantity]]&gt;0,IF(Cdlac[[#This Row],[Federal]],30%,IF($G$36,40%,Cdlac[[#This Row],[iAMI]])),"")</f>
        <v>0.4</v>
      </c>
      <c r="P27" s="1101" cm="1">
        <f t="array" ref="P27">IF(Cdlac[[#This Row],[Quantity]]&gt;0,INDEX(TcacRents,$P$18,Cdlac[[#This Row],[Bedrooms]]+1)*Cdlac[[#This Row],[AMI]],"")</f>
        <v>838.40000000000009</v>
      </c>
      <c r="Q27" s="1101" cm="1">
        <f t="array" ref="Q27">IF(Cdlac[[#This Row],[Quantity]]&gt;0,INDEX(HudFmrs,$P$18,Cdlac[[#This Row],[Bedrooms]]+1),"")</f>
        <v>1751</v>
      </c>
      <c r="R27" s="1101">
        <f>IF(Cdlac[[#This Row],[Quantity]]&gt;0,MAX(0,Cdlac[[#This Row],[Fair Market Rent]]-Cdlac[[#This Row],[Restricted Rent]]),"")</f>
        <v>912.59999999999991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3</v>
      </c>
      <c r="N28" s="1109">
        <f>Application!AC726</f>
        <v>0.5</v>
      </c>
      <c r="O28" s="1109">
        <f>IF(Cdlac[[#This Row],[Quantity]]&gt;0,IF(Cdlac[[#This Row],[Federal]],30%,IF($G$36,40%,Cdlac[[#This Row],[iAMI]])),"")</f>
        <v>0.4</v>
      </c>
      <c r="P28" s="1101" cm="1">
        <f t="array" ref="P28">IF(Cdlac[[#This Row],[Quantity]]&gt;0,INDEX(TcacRents,$P$18,Cdlac[[#This Row],[Bedrooms]]+1)*Cdlac[[#This Row],[AMI]],"")</f>
        <v>838.40000000000009</v>
      </c>
      <c r="Q28" s="1101" cm="1">
        <f t="array" ref="Q28">IF(Cdlac[[#This Row],[Quantity]]&gt;0,INDEX(HudFmrs,$P$18,Cdlac[[#This Row],[Bedrooms]]+1),"")</f>
        <v>1751</v>
      </c>
      <c r="R28" s="1101">
        <f>IF(Cdlac[[#This Row],[Quantity]]&gt;0,MAX(0,Cdlac[[#This Row],[Fair Market Rent]]-Cdlac[[#This Row],[Restricted Rent]]),"")</f>
        <v>912.59999999999991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126.5</v>
      </c>
      <c r="H29" s="1112"/>
      <c r="I29" s="1112"/>
      <c r="L29" s="1079">
        <f>IFERROR(MIN(4,MATCH(Application!B727,UnitSizes,0)-1),"")</f>
        <v>2</v>
      </c>
      <c r="M29" s="1101">
        <f>Application!G727</f>
        <v>1</v>
      </c>
      <c r="N29" s="1109">
        <f>Application!AC727</f>
        <v>0.6</v>
      </c>
      <c r="O29" s="1109">
        <f>IF(Cdlac[[#This Row],[Quantity]]&gt;0,IF(Cdlac[[#This Row],[Federal]],30%,IF($G$36,40%,Cdlac[[#This Row],[iAMI]])),"")</f>
        <v>0.4</v>
      </c>
      <c r="P29" s="1101" cm="1">
        <f t="array" ref="P29">IF(Cdlac[[#This Row],[Quantity]]&gt;0,INDEX(TcacRents,$P$18,Cdlac[[#This Row],[Bedrooms]]+1)*Cdlac[[#This Row],[AMI]],"")</f>
        <v>838.40000000000009</v>
      </c>
      <c r="Q29" s="1101" cm="1">
        <f t="array" ref="Q29">IF(Cdlac[[#This Row],[Quantity]]&gt;0,INDEX(HudFmrs,$P$18,Cdlac[[#This Row],[Bedrooms]]+1),"")</f>
        <v>1751</v>
      </c>
      <c r="R29" s="1101">
        <f>IF(Cdlac[[#This Row],[Quantity]]&gt;0,MAX(0,Cdlac[[#This Row],[Fair Market Rent]]-Cdlac[[#This Row],[Restricted Rent]]),"")</f>
        <v>912.59999999999991</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3</v>
      </c>
      <c r="N30" s="1109">
        <f>Application!AC728</f>
        <v>0.3</v>
      </c>
      <c r="O30" s="1109">
        <f>IF(Cdlac[[#This Row],[Quantity]]&gt;0,IF(Cdlac[[#This Row],[Federal]],30%,IF($G$36,40%,Cdlac[[#This Row],[iAMI]])),"")</f>
        <v>0.3</v>
      </c>
      <c r="P30" s="1101" cm="1">
        <f t="array" ref="P30">IF(Cdlac[[#This Row],[Quantity]]&gt;0,INDEX(TcacRents,$P$18,Cdlac[[#This Row],[Bedrooms]]+1)*Cdlac[[#This Row],[AMI]],"")</f>
        <v>726.6</v>
      </c>
      <c r="Q30" s="1101" cm="1">
        <f t="array" ref="Q30">IF(Cdlac[[#This Row],[Quantity]]&gt;0,INDEX(HudFmrs,$P$18,Cdlac[[#This Row],[Bedrooms]]+1),"")</f>
        <v>2376</v>
      </c>
      <c r="R30" s="1101">
        <f>IF(Cdlac[[#This Row],[Quantity]]&gt;0,MAX(0,Cdlac[[#This Row],[Fair Market Rent]]-Cdlac[[#This Row],[Restricted Rent]]),"")</f>
        <v>1649.4</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2289</v>
      </c>
      <c r="F31" s="1081"/>
      <c r="G31" s="1161">
        <f>G30*G29</f>
        <v>6325000</v>
      </c>
      <c r="H31" s="1112"/>
      <c r="I31" s="1112"/>
      <c r="L31" s="1079">
        <f>IFERROR(MIN(4,MATCH(Application!B729,UnitSizes,0)-1),"")</f>
        <v>3</v>
      </c>
      <c r="M31" s="1101">
        <f>Application!G729</f>
        <v>4</v>
      </c>
      <c r="N31" s="1109">
        <f>Application!AC729</f>
        <v>0.3</v>
      </c>
      <c r="O31" s="1109">
        <f>IF(Cdlac[[#This Row],[Quantity]]&gt;0,IF(Cdlac[[#This Row],[Federal]],30%,IF($G$36,40%,Cdlac[[#This Row],[iAMI]])),"")</f>
        <v>0.4</v>
      </c>
      <c r="P31" s="1101" cm="1">
        <f t="array" ref="P31">IF(Cdlac[[#This Row],[Quantity]]&gt;0,INDEX(TcacRents,$P$18,Cdlac[[#This Row],[Bedrooms]]+1)*Cdlac[[#This Row],[AMI]],"")</f>
        <v>968.80000000000007</v>
      </c>
      <c r="Q31" s="1101" cm="1">
        <f t="array" ref="Q31">IF(Cdlac[[#This Row],[Quantity]]&gt;0,INDEX(HudFmrs,$P$18,Cdlac[[#This Row],[Bedrooms]]+1),"")</f>
        <v>2376</v>
      </c>
      <c r="R31" s="1101">
        <f>IF(Cdlac[[#This Row],[Quantity]]&gt;0,MAX(0,Cdlac[[#This Row],[Fair Market Rent]]-Cdlac[[#This Row],[Restricted Rent]]),"")</f>
        <v>1407.1999999999998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8</v>
      </c>
      <c r="N32" s="1109">
        <f>Application!AC730</f>
        <v>0.4</v>
      </c>
      <c r="O32" s="1109">
        <f>IF(Cdlac[[#This Row],[Quantity]]&gt;0,IF(Cdlac[[#This Row],[Federal]],30%,IF($G$36,40%,Cdlac[[#This Row],[iAMI]])),"")</f>
        <v>0.3</v>
      </c>
      <c r="P32" s="1101" cm="1">
        <f t="array" ref="P32">IF(Cdlac[[#This Row],[Quantity]]&gt;0,INDEX(TcacRents,$P$18,Cdlac[[#This Row],[Bedrooms]]+1)*Cdlac[[#This Row],[AMI]],"")</f>
        <v>726.6</v>
      </c>
      <c r="Q32" s="1101" cm="1">
        <f t="array" ref="Q32">IF(Cdlac[[#This Row],[Quantity]]&gt;0,INDEX(HudFmrs,$P$18,Cdlac[[#This Row],[Bedrooms]]+1),"")</f>
        <v>2376</v>
      </c>
      <c r="R32" s="1101">
        <f>IF(Cdlac[[#This Row],[Quantity]]&gt;0,MAX(0,Cdlac[[#This Row],[Fair Market Rent]]-Cdlac[[#This Row],[Restricted Rent]]),"")</f>
        <v>1649.4</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0.4</v>
      </c>
      <c r="O33" s="1109">
        <f>IF(Cdlac[[#This Row],[Quantity]]&gt;0,IF(Cdlac[[#This Row],[Federal]],30%,IF($G$36,40%,Cdlac[[#This Row],[iAMI]])),"")</f>
        <v>0.4</v>
      </c>
      <c r="P33" s="1101" cm="1">
        <f t="array" ref="P33">IF(Cdlac[[#This Row],[Quantity]]&gt;0,INDEX(TcacRents,$P$18,Cdlac[[#This Row],[Bedrooms]]+1)*Cdlac[[#This Row],[AMI]],"")</f>
        <v>968.80000000000007</v>
      </c>
      <c r="Q33" s="1101" cm="1">
        <f t="array" ref="Q33">IF(Cdlac[[#This Row],[Quantity]]&gt;0,INDEX(HudFmrs,$P$18,Cdlac[[#This Row],[Bedrooms]]+1),"")</f>
        <v>2376</v>
      </c>
      <c r="R33" s="1101">
        <f>IF(Cdlac[[#This Row],[Quantity]]&gt;0,MAX(0,Cdlac[[#This Row],[Fair Market Rent]]-Cdlac[[#This Row],[Restricted Rent]]),"")</f>
        <v>1407.1999999999998</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3</v>
      </c>
      <c r="N34" s="1109">
        <f>Application!AC732</f>
        <v>0.5</v>
      </c>
      <c r="O34" s="1109">
        <f>IF(Cdlac[[#This Row],[Quantity]]&gt;0,IF(Cdlac[[#This Row],[Federal]],30%,IF($G$36,40%,Cdlac[[#This Row],[iAMI]])),"")</f>
        <v>0.3</v>
      </c>
      <c r="P34" s="1101" cm="1">
        <f t="array" ref="P34">IF(Cdlac[[#This Row],[Quantity]]&gt;0,INDEX(TcacRents,$P$18,Cdlac[[#This Row],[Bedrooms]]+1)*Cdlac[[#This Row],[AMI]],"")</f>
        <v>726.6</v>
      </c>
      <c r="Q34" s="1101" cm="1">
        <f t="array" ref="Q34">IF(Cdlac[[#This Row],[Quantity]]&gt;0,INDEX(HudFmrs,$P$18,Cdlac[[#This Row],[Bedrooms]]+1),"")</f>
        <v>2376</v>
      </c>
      <c r="R34" s="1101">
        <f>IF(Cdlac[[#This Row],[Quantity]]&gt;0,MAX(0,Cdlac[[#This Row],[Fair Market Rent]]-Cdlac[[#This Row],[Restricted Rent]]),"")</f>
        <v>1649.4</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2316</v>
      </c>
      <c r="G35" s="1162" cm="1">
        <f t="array" ref="G35">SUMPRODUCT(Cdlac[Quantity],Cdlac[iAMI],IF(Cdlac[Federal],0,1))/SUMIFS(Cdlac[Quantity],Cdlac[Federal],FALSE)</f>
        <v>0.39864864864864868</v>
      </c>
      <c r="L35" s="1079">
        <f>IFERROR(MIN(4,MATCH(Application!B733,UnitSizes,0)-1),"")</f>
        <v>3</v>
      </c>
      <c r="M35" s="1101">
        <f>Application!G733</f>
        <v>2</v>
      </c>
      <c r="N35" s="1109">
        <f>Application!AC733</f>
        <v>0.5</v>
      </c>
      <c r="O35" s="1109">
        <f>IF(Cdlac[[#This Row],[Quantity]]&gt;0,IF(Cdlac[[#This Row],[Federal]],30%,IF($G$36,40%,Cdlac[[#This Row],[iAMI]])),"")</f>
        <v>0.4</v>
      </c>
      <c r="P35" s="1101" cm="1">
        <f t="array" ref="P35">IF(Cdlac[[#This Row],[Quantity]]&gt;0,INDEX(TcacRents,$P$18,Cdlac[[#This Row],[Bedrooms]]+1)*Cdlac[[#This Row],[AMI]],"")</f>
        <v>968.80000000000007</v>
      </c>
      <c r="Q35" s="1101" cm="1">
        <f t="array" ref="Q35">IF(Cdlac[[#This Row],[Quantity]]&gt;0,INDEX(HudFmrs,$P$18,Cdlac[[#This Row],[Bedrooms]]+1),"")</f>
        <v>2376</v>
      </c>
      <c r="R35" s="1101">
        <f>IF(Cdlac[[#This Row],[Quantity]]&gt;0,MAX(0,Cdlac[[#This Row],[Fair Market Rent]]-Cdlac[[#This Row],[Restricted Rent]]),"")</f>
        <v>1407.1999999999998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2311</v>
      </c>
      <c r="G36" s="1119" t="b">
        <f>G35&lt;40%</f>
        <v>1</v>
      </c>
      <c r="L36" s="1079">
        <f>IFERROR(MIN(4,MATCH(Application!B734,UnitSizes,0)-1),"")</f>
        <v>3</v>
      </c>
      <c r="M36" s="1101">
        <f>Application!G734</f>
        <v>2</v>
      </c>
      <c r="N36" s="1109">
        <f>Application!AC734</f>
        <v>0.6</v>
      </c>
      <c r="O36" s="1109">
        <f>IF(Cdlac[[#This Row],[Quantity]]&gt;0,IF(Cdlac[[#This Row],[Federal]],30%,IF($G$36,40%,Cdlac[[#This Row],[iAMI]])),"")</f>
        <v>0.4</v>
      </c>
      <c r="P36" s="1101" cm="1">
        <f t="array" ref="P36">IF(Cdlac[[#This Row],[Quantity]]&gt;0,INDEX(TcacRents,$P$18,Cdlac[[#This Row],[Bedrooms]]+1)*Cdlac[[#This Row],[AMI]],"")</f>
        <v>968.80000000000007</v>
      </c>
      <c r="Q36" s="1101" cm="1">
        <f t="array" ref="Q36">IF(Cdlac[[#This Row],[Quantity]]&gt;0,INDEX(HudFmrs,$P$18,Cdlac[[#This Row],[Bedrooms]]+1),"")</f>
        <v>2376</v>
      </c>
      <c r="R36" s="1101">
        <f>IF(Cdlac[[#This Row],[Quantity]]&gt;0,MAX(0,Cdlac[[#This Row],[Fair Market Rent]]-Cdlac[[#This Row],[Restricted Rent]]),"")</f>
        <v>1407.1999999999998</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4</v>
      </c>
      <c r="M37" s="1101">
        <f>Application!G735</f>
        <v>1</v>
      </c>
      <c r="N37" s="1109">
        <f>Application!AC735</f>
        <v>0.3</v>
      </c>
      <c r="O37" s="1109">
        <f>IF(Cdlac[[#This Row],[Quantity]]&gt;0,IF(Cdlac[[#This Row],[Federal]],30%,IF($G$36,40%,Cdlac[[#This Row],[iAMI]])),"")</f>
        <v>0.3</v>
      </c>
      <c r="P37" s="1101" cm="1">
        <f t="array" ref="P37">IF(Cdlac[[#This Row],[Quantity]]&gt;0,INDEX(TcacRents,$P$18,Cdlac[[#This Row],[Bedrooms]]+1)*Cdlac[[#This Row],[AMI]],"")</f>
        <v>811.19999999999993</v>
      </c>
      <c r="Q37" s="1101" cm="1">
        <f t="array" ref="Q37">IF(Cdlac[[#This Row],[Quantity]]&gt;0,INDEX(HudFmrs,$P$18,Cdlac[[#This Row],[Bedrooms]]+1),"")</f>
        <v>2922</v>
      </c>
      <c r="R37" s="1101">
        <f>IF(Cdlac[[#This Row],[Quantity]]&gt;0,MAX(0,Cdlac[[#This Row],[Fair Market Rent]]-Cdlac[[#This Row],[Restricted Rent]]),"")</f>
        <v>2110.8000000000002</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2252</v>
      </c>
      <c r="G38" s="1116">
        <f>SUMPRODUCT(Cdlac[Quantity],Cdlac[Delta])</f>
        <v>109776</v>
      </c>
      <c r="L38" s="1079">
        <f>IFERROR(MIN(4,MATCH(Application!B736,UnitSizes,0)-1),"")</f>
        <v>4</v>
      </c>
      <c r="M38" s="1101">
        <f>Application!G736</f>
        <v>2</v>
      </c>
      <c r="N38" s="1109">
        <f>Application!AC736</f>
        <v>0.3</v>
      </c>
      <c r="O38" s="1109">
        <f>IF(Cdlac[[#This Row],[Quantity]]&gt;0,IF(Cdlac[[#This Row],[Federal]],30%,IF($G$36,40%,Cdlac[[#This Row],[iAMI]])),"")</f>
        <v>0.4</v>
      </c>
      <c r="P38" s="1101" cm="1">
        <f t="array" ref="P38">IF(Cdlac[[#This Row],[Quantity]]&gt;0,INDEX(TcacRents,$P$18,Cdlac[[#This Row],[Bedrooms]]+1)*Cdlac[[#This Row],[AMI]],"")</f>
        <v>1081.6000000000001</v>
      </c>
      <c r="Q38" s="1101" cm="1">
        <f t="array" ref="Q38">IF(Cdlac[[#This Row],[Quantity]]&gt;0,INDEX(HudFmrs,$P$18,Cdlac[[#This Row],[Bedrooms]]+1),"")</f>
        <v>2922</v>
      </c>
      <c r="R38" s="1101">
        <f>IF(Cdlac[[#This Row],[Quantity]]&gt;0,MAX(0,Cdlac[[#This Row],[Fair Market Rent]]-Cdlac[[#This Row],[Restricted Rent]]),"")</f>
        <v>1840.3999999999999</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2317</v>
      </c>
      <c r="F39" s="1155" t="s">
        <v>2305</v>
      </c>
      <c r="G39" s="1163">
        <f>12*15</f>
        <v>180</v>
      </c>
      <c r="L39" s="1079">
        <f>IFERROR(MIN(4,MATCH(Application!B737,UnitSizes,0)-1),"")</f>
        <v>4</v>
      </c>
      <c r="M39" s="1101">
        <f>Application!G737</f>
        <v>2</v>
      </c>
      <c r="N39" s="1109">
        <f>Application!AC737</f>
        <v>0.4</v>
      </c>
      <c r="O39" s="1109">
        <f>IF(Cdlac[[#This Row],[Quantity]]&gt;0,IF(Cdlac[[#This Row],[Federal]],30%,IF($G$36,40%,Cdlac[[#This Row],[iAMI]])),"")</f>
        <v>0.3</v>
      </c>
      <c r="P39" s="1101" cm="1">
        <f t="array" ref="P39">IF(Cdlac[[#This Row],[Quantity]]&gt;0,INDEX(TcacRents,$P$18,Cdlac[[#This Row],[Bedrooms]]+1)*Cdlac[[#This Row],[AMI]],"")</f>
        <v>811.19999999999993</v>
      </c>
      <c r="Q39" s="1101" cm="1">
        <f t="array" ref="Q39">IF(Cdlac[[#This Row],[Quantity]]&gt;0,INDEX(HudFmrs,$P$18,Cdlac[[#This Row],[Bedrooms]]+1),"")</f>
        <v>2922</v>
      </c>
      <c r="R39" s="1101">
        <f>IF(Cdlac[[#This Row],[Quantity]]&gt;0,MAX(0,Cdlac[[#This Row],[Fair Market Rent]]-Cdlac[[#This Row],[Restricted Rent]]),"")</f>
        <v>2110.8000000000002</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2245</v>
      </c>
      <c r="F40" s="1081"/>
      <c r="G40" s="1165">
        <f>G38*G39</f>
        <v>19759680</v>
      </c>
      <c r="L40" s="1079">
        <f>IFERROR(MIN(4,MATCH(Application!B738,UnitSizes,0)-1),"")</f>
        <v>4</v>
      </c>
      <c r="M40" s="1101">
        <f>Application!G738</f>
        <v>3</v>
      </c>
      <c r="N40" s="1109">
        <f>Application!AC738</f>
        <v>0.5</v>
      </c>
      <c r="O40" s="1109">
        <f>IF(Cdlac[[#This Row],[Quantity]]&gt;0,IF(Cdlac[[#This Row],[Federal]],30%,IF($G$36,40%,Cdlac[[#This Row],[iAMI]])),"")</f>
        <v>0.4</v>
      </c>
      <c r="P40" s="1101" cm="1">
        <f t="array" ref="P40">IF(Cdlac[[#This Row],[Quantity]]&gt;0,INDEX(TcacRents,$P$18,Cdlac[[#This Row],[Bedrooms]]+1)*Cdlac[[#This Row],[AMI]],"")</f>
        <v>1081.6000000000001</v>
      </c>
      <c r="Q40" s="1101" cm="1">
        <f t="array" ref="Q40">IF(Cdlac[[#This Row],[Quantity]]&gt;0,INDEX(HudFmrs,$P$18,Cdlac[[#This Row],[Bedrooms]]+1),"")</f>
        <v>2922</v>
      </c>
      <c r="R40" s="1101">
        <f>IF(Cdlac[[#This Row],[Quantity]]&gt;0,MAX(0,Cdlac[[#This Row],[Fair Market Rent]]-Cdlac[[#This Row],[Restricted Rent]]),"")</f>
        <v>1840.3999999999999</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49</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23</v>
      </c>
    </row>
    <row r="54" spans="2:14" ht="15" customHeight="1">
      <c r="E54" s="1159" t="s">
        <v>2307</v>
      </c>
      <c r="G54" s="1117">
        <f>ROUNDDOWN(E27*50%,0)</f>
        <v>49</v>
      </c>
    </row>
    <row r="55" spans="2:14" ht="15" customHeight="1">
      <c r="E55" s="1159"/>
      <c r="G55" s="1117"/>
    </row>
    <row r="56" spans="2:14" ht="15" customHeight="1">
      <c r="E56" s="1159" t="s">
        <v>2258</v>
      </c>
      <c r="G56" s="1156">
        <f>MIN(G53:G54)</f>
        <v>23</v>
      </c>
    </row>
    <row r="57" spans="2:14" ht="15" customHeight="1">
      <c r="E57" s="1159" t="s">
        <v>2248</v>
      </c>
      <c r="F57" s="1155" t="s">
        <v>2305</v>
      </c>
      <c r="G57" s="1166">
        <v>20000</v>
      </c>
    </row>
    <row r="58" spans="2:14" ht="15" customHeight="1">
      <c r="E58" s="1160" t="s">
        <v>2287</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4</v>
      </c>
      <c r="L62" s="1169" t="str">
        <f>'Points System'!H627</f>
        <v>(i)</v>
      </c>
      <c r="M62" s="2153" t="s">
        <v>1517</v>
      </c>
      <c r="N62" s="2154"/>
    </row>
    <row r="63" spans="2:14" ht="15" customHeight="1">
      <c r="E63" s="1124" t="s">
        <v>2248</v>
      </c>
      <c r="F63" s="1155" t="s">
        <v>2305</v>
      </c>
      <c r="G63" s="1114">
        <v>4000</v>
      </c>
      <c r="L63" s="1170" t="str">
        <f>'Points System'!H639</f>
        <v>N/A</v>
      </c>
      <c r="M63" s="2145" t="s">
        <v>2262</v>
      </c>
      <c r="N63" s="2146"/>
    </row>
    <row r="64" spans="2:14" ht="15" customHeight="1">
      <c r="E64" s="1124" t="s">
        <v>2309</v>
      </c>
      <c r="F64" s="1155" t="s">
        <v>2305</v>
      </c>
      <c r="G64" s="1168">
        <f>G27</f>
        <v>126.5</v>
      </c>
      <c r="L64" s="1170" t="str">
        <f>'Points System'!H674</f>
        <v>(ii)</v>
      </c>
      <c r="M64" s="2145" t="s">
        <v>2263</v>
      </c>
      <c r="N64" s="2146"/>
    </row>
    <row r="65" spans="2:14" ht="15" customHeight="1">
      <c r="E65" s="1160" t="s">
        <v>2267</v>
      </c>
      <c r="F65" s="1081"/>
      <c r="G65" s="1165">
        <f>G62*G63*G64</f>
        <v>2024000</v>
      </c>
      <c r="L65" s="1170" t="str">
        <f>IF(OR('Points System'!H698="(ii)",'Points System'!H698="(i)"),"(i)","N/A")</f>
        <v>(i)</v>
      </c>
      <c r="M65" s="2145" t="s">
        <v>2264</v>
      </c>
      <c r="N65" s="2146"/>
    </row>
    <row r="66" spans="2:14" ht="15" customHeight="1">
      <c r="C66" s="1115"/>
      <c r="G66" s="1156"/>
      <c r="L66" s="1171" t="str">
        <f>'Points System'!H712</f>
        <v>N/A</v>
      </c>
      <c r="M66" s="2145" t="s">
        <v>1543</v>
      </c>
      <c r="N66" s="2146"/>
    </row>
    <row r="67" spans="2:14" ht="15" customHeight="1">
      <c r="E67" s="1124" t="s">
        <v>2310</v>
      </c>
      <c r="G67" s="1168">
        <f>COUNTIFS(L62:L69,"(i)")</f>
        <v>2</v>
      </c>
      <c r="L67" s="1170" t="str">
        <f>'Points System'!H724</f>
        <v>N/A</v>
      </c>
      <c r="M67" s="2145" t="s">
        <v>2265</v>
      </c>
      <c r="N67" s="2146"/>
    </row>
    <row r="68" spans="2:14" ht="15" customHeight="1">
      <c r="E68" s="1124" t="s">
        <v>2248</v>
      </c>
      <c r="F68" s="1155" t="s">
        <v>2305</v>
      </c>
      <c r="G68" s="1166">
        <v>4000</v>
      </c>
      <c r="L68" s="1170" t="str">
        <f>'Points System'!H740</f>
        <v>(ii)</v>
      </c>
      <c r="M68" s="2145" t="s">
        <v>2266</v>
      </c>
      <c r="N68" s="2146"/>
    </row>
    <row r="69" spans="2:14" ht="15" customHeight="1" thickBot="1">
      <c r="E69" s="1160" t="s">
        <v>2268</v>
      </c>
      <c r="F69" s="1081"/>
      <c r="G69" s="1165">
        <f>G64*G67*G68</f>
        <v>1012000</v>
      </c>
      <c r="L69" s="1172" t="str">
        <f>'Points System'!H752</f>
        <v>(ii)</v>
      </c>
      <c r="M69" s="2147" t="s">
        <v>1546</v>
      </c>
      <c r="N69" s="214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126.5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3036000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49" t="s">
        <v>2275</v>
      </c>
      <c r="M87" s="2150"/>
      <c r="N87" s="1173">
        <v>30000</v>
      </c>
    </row>
    <row r="88" spans="2:14" ht="15" customHeight="1">
      <c r="C88" s="1115" t="s">
        <v>2292</v>
      </c>
      <c r="G88" s="1119" t="str">
        <f>IF(Application!D211="Large Family","Yes","No")</f>
        <v>Yes</v>
      </c>
      <c r="L88" s="2141" t="s">
        <v>2239</v>
      </c>
      <c r="M88" s="2142"/>
      <c r="N88" s="1174">
        <v>20000</v>
      </c>
    </row>
    <row r="89" spans="2:14" ht="15" customHeight="1" thickBot="1">
      <c r="C89" s="1115" t="s">
        <v>2273</v>
      </c>
      <c r="G89" s="1078"/>
      <c r="L89" s="2143" t="s">
        <v>2276</v>
      </c>
      <c r="M89" s="2144"/>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126.5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126.5</v>
      </c>
    </row>
    <row r="105" spans="2:9" ht="15" customHeight="1">
      <c r="E105" s="1124" t="s">
        <v>2248</v>
      </c>
      <c r="F105" s="1155" t="s">
        <v>2305</v>
      </c>
      <c r="G105" s="1085">
        <v>20000</v>
      </c>
    </row>
    <row r="106" spans="2:9" ht="15" customHeight="1">
      <c r="E106" s="1160" t="s">
        <v>2277</v>
      </c>
      <c r="F106" s="1081"/>
      <c r="G106" s="1165">
        <f>G102*G105*G104</f>
        <v>2530000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2313</v>
      </c>
      <c r="G113" s="1116">
        <f>MEDIAN((Application!BR806:BR863))</f>
        <v>489600</v>
      </c>
    </row>
    <row r="114" spans="4:9" ht="15" customHeight="1">
      <c r="D114" s="1081"/>
      <c r="E114" s="1160" t="s">
        <v>2315</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Alma Figueroa</cp:lastModifiedBy>
  <cp:lastPrinted>2024-04-19T22:10:22Z</cp:lastPrinted>
  <dcterms:created xsi:type="dcterms:W3CDTF">2007-12-27T18:26:28Z</dcterms:created>
  <dcterms:modified xsi:type="dcterms:W3CDTF">2024-04-19T22:10:34Z</dcterms:modified>
</cp:coreProperties>
</file>